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仕事\学　バトン\東京都バトン協会\東京都コンテスト地区大会\申込書（作成資料）\2025年度\"/>
    </mc:Choice>
  </mc:AlternateContent>
  <xr:revisionPtr revIDLastSave="0" documentId="13_ncr:1_{F67F19AF-3A5A-4921-864F-4E733FF3EBD2}" xr6:coauthVersionLast="47" xr6:coauthVersionMax="47" xr10:uidLastSave="{00000000-0000-0000-0000-000000000000}"/>
  <workbookProtection workbookAlgorithmName="SHA-512" workbookHashValue="677Be9DHWC+xlrg/GBNnB9tl5rNDWSDBJTOwManrOkCyZ2Rsb8FFsRx0NracCnUp+4B1VRvl1iy/pKGHTqTutw==" workbookSaltValue="9x/olG33J+2N2E5ySN7dYg==" workbookSpinCount="100000" lockStructure="1"/>
  <bookViews>
    <workbookView xWindow="-108" yWindow="-108" windowWidth="23256" windowHeight="12456" xr2:uid="{00000000-000D-0000-FFFF-FFFF00000000}"/>
  </bookViews>
  <sheets>
    <sheet name="団体情報・入力の仕方" sheetId="6" r:id="rId1"/>
    <sheet name="入力シート" sheetId="4" r:id="rId2"/>
    <sheet name="マスターズ用入力シート" sheetId="8" r:id="rId3"/>
    <sheet name="エントリー別人数表＆参加費申込書" sheetId="3" r:id="rId4"/>
    <sheet name="参照データ" sheetId="5" state="hidden" r:id="rId5"/>
    <sheet name="Sheet1" sheetId="7" state="hidden" r:id="rId6"/>
    <sheet name="入力確認用" sheetId="11" state="hidden" r:id="rId7"/>
    <sheet name="入力時の注意事項" sheetId="9" state="hidden" r:id="rId8"/>
    <sheet name="エントリー別人数表＆参加費申込書（予備復元用）" sheetId="10" state="hidden" r:id="rId9"/>
  </sheets>
  <externalReferences>
    <externalReference r:id="rId10"/>
  </externalReferences>
  <definedNames>
    <definedName name="excelﾊﾞｰｼﾞｮﾝ" localSheetId="5">[1]参照データ!#REF!</definedName>
    <definedName name="excelﾊﾞｰｼﾞｮﾝ">参照データ!#REF!</definedName>
    <definedName name="_xlnm.Print_Area" localSheetId="3">'エントリー別人数表＆参加費申込書'!$A$1:$AD$14,'エントリー別人数表＆参加費申込書'!$A$16:$AD$117,'エントリー別人数表＆参加費申込書'!$A$119:$AD$157</definedName>
    <definedName name="_xlnm.Print_Area" localSheetId="8">'エントリー別人数表＆参加費申込書（予備復元用）'!$A$1:$AD$14,'エントリー別人数表＆参加費申込書（予備復元用）'!$A$16:$AD$106,'エントリー別人数表＆参加費申込書（予備復元用）'!$A$108:$AD$146</definedName>
    <definedName name="_xlnm.Print_Area" localSheetId="2">マスターズ用入力シート!$I$12:$AT$71</definedName>
    <definedName name="_xlnm.Print_Area" localSheetId="0">団体情報・入力の仕方!$A$1:$N$82</definedName>
    <definedName name="_xlnm.Print_Area" localSheetId="1">入力シート!$I$12:$AT$71</definedName>
    <definedName name="_xlnm.Print_Titles" localSheetId="2">マスターズ用入力シート!$B:$H,マスターズ用入力シート!$1:$11</definedName>
    <definedName name="_xlnm.Print_Titles" localSheetId="1">入力シート!$B:$H,入力シート!$1:$11</definedName>
    <definedName name="プレチームコンテスト">団体情報・入力の仕方!$B$40:$G$45</definedName>
    <definedName name="自由演技">団体情報・入力の仕方!$B$32:$G$37</definedName>
    <definedName name="大田区以外" localSheetId="2">マスターズ用入力シート!$AV$12</definedName>
    <definedName name="大田区以外">入力シート!$AY$12</definedName>
    <definedName name="大田区大会" localSheetId="2">マスターズ用入力シート!$AV$22</definedName>
    <definedName name="大田区大会">入力シート!$AY$22</definedName>
    <definedName name="都県" localSheetId="5">[1]参照データ!$B$3:$B$10</definedName>
    <definedName name="都県">参照データ!$B$3:$B$10</definedName>
    <definedName name="未就学" localSheetId="2">マスターズ用入力シート!$AV$74:$AW$76</definedName>
    <definedName name="未就学">入力シート!$AY$74:$AZ$76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6" l="1"/>
  <c r="B63" i="6"/>
  <c r="BA71" i="8"/>
  <c r="BA70" i="8"/>
  <c r="BA69" i="8"/>
  <c r="BA68" i="8"/>
  <c r="BA67" i="8"/>
  <c r="BA66" i="8"/>
  <c r="BA65" i="8"/>
  <c r="BA64" i="8"/>
  <c r="C119" i="3"/>
  <c r="A3" i="3"/>
  <c r="D75" i="4"/>
  <c r="D75" i="8"/>
  <c r="E51" i="11"/>
  <c r="E50" i="11"/>
  <c r="E49" i="11"/>
  <c r="E48" i="11"/>
  <c r="E47" i="11"/>
  <c r="E46" i="11"/>
  <c r="E45" i="11"/>
  <c r="E44" i="11"/>
  <c r="E43" i="11"/>
  <c r="E42" i="11"/>
  <c r="E41" i="11"/>
  <c r="E40" i="11"/>
  <c r="E39" i="11"/>
  <c r="E38" i="11"/>
  <c r="E37" i="11"/>
  <c r="E36" i="11"/>
  <c r="E35" i="11"/>
  <c r="E34" i="11"/>
  <c r="E33" i="11"/>
  <c r="E32" i="11"/>
  <c r="E31" i="11"/>
  <c r="E30" i="11"/>
  <c r="E29" i="11"/>
  <c r="E28" i="11"/>
  <c r="E27" i="11"/>
  <c r="E26" i="11"/>
  <c r="E25" i="11"/>
  <c r="E24" i="11"/>
  <c r="E23" i="11"/>
  <c r="E22" i="11"/>
  <c r="E21" i="11"/>
  <c r="E20" i="11"/>
  <c r="E19" i="11"/>
  <c r="E18" i="11"/>
  <c r="E17" i="11"/>
  <c r="E16" i="11"/>
  <c r="E15" i="11"/>
  <c r="E14" i="11"/>
  <c r="E13" i="11"/>
  <c r="E12" i="11"/>
  <c r="E11" i="11"/>
  <c r="E10" i="11"/>
  <c r="E9" i="11"/>
  <c r="E8" i="11"/>
  <c r="E7" i="11"/>
  <c r="E6" i="11"/>
  <c r="E5" i="11"/>
  <c r="E4" i="11"/>
  <c r="E3" i="11"/>
  <c r="E2" i="11"/>
  <c r="B48" i="11"/>
  <c r="B50" i="11" s="1"/>
  <c r="B47" i="11"/>
  <c r="B49" i="11" s="1"/>
  <c r="B51" i="11" s="1"/>
  <c r="B43" i="11"/>
  <c r="B45" i="11" s="1"/>
  <c r="B42" i="11"/>
  <c r="B44" i="11" s="1"/>
  <c r="B46" i="11" s="1"/>
  <c r="B41" i="11"/>
  <c r="B37" i="11"/>
  <c r="B39" i="11" s="1"/>
  <c r="B36" i="11"/>
  <c r="B38" i="11" s="1"/>
  <c r="B40" i="11" s="1"/>
  <c r="B35" i="11"/>
  <c r="B27" i="11"/>
  <c r="B29" i="11" s="1"/>
  <c r="B31" i="11" s="1"/>
  <c r="B33" i="11" s="1"/>
  <c r="B25" i="11"/>
  <c r="B24" i="11"/>
  <c r="B26" i="11" s="1"/>
  <c r="B28" i="11" s="1"/>
  <c r="B30" i="11" s="1"/>
  <c r="B32" i="11" s="1"/>
  <c r="B34" i="11" s="1"/>
  <c r="B12" i="11"/>
  <c r="B14" i="11" s="1"/>
  <c r="B16" i="11" s="1"/>
  <c r="B18" i="11" s="1"/>
  <c r="B20" i="11" s="1"/>
  <c r="B22" i="11" s="1"/>
  <c r="B11" i="11"/>
  <c r="B13" i="11" s="1"/>
  <c r="B15" i="11" s="1"/>
  <c r="B17" i="11" s="1"/>
  <c r="B19" i="11" s="1"/>
  <c r="B21" i="11" s="1"/>
  <c r="B23" i="11" s="1"/>
  <c r="B10" i="11"/>
  <c r="B9" i="11"/>
  <c r="B8" i="11"/>
  <c r="B7" i="11"/>
  <c r="B6" i="11"/>
  <c r="B5" i="11"/>
  <c r="B4" i="11"/>
  <c r="FD71" i="4"/>
  <c r="FD70" i="4"/>
  <c r="FD69" i="4"/>
  <c r="FD68" i="4"/>
  <c r="FD67" i="4"/>
  <c r="FD66" i="4"/>
  <c r="FD65" i="4"/>
  <c r="FD64" i="4"/>
  <c r="FD63" i="4"/>
  <c r="FD62" i="4"/>
  <c r="FD61" i="4"/>
  <c r="FD60" i="4"/>
  <c r="FD59" i="4"/>
  <c r="FD58" i="4"/>
  <c r="FD57" i="4"/>
  <c r="FD56" i="4"/>
  <c r="FD55" i="4"/>
  <c r="FD54" i="4"/>
  <c r="FD53" i="4"/>
  <c r="FD52" i="4"/>
  <c r="FD51" i="4"/>
  <c r="FD50" i="4"/>
  <c r="FD49" i="4"/>
  <c r="FD48" i="4"/>
  <c r="FD47" i="4"/>
  <c r="FD46" i="4"/>
  <c r="FD45" i="4"/>
  <c r="FD44" i="4"/>
  <c r="FD43" i="4"/>
  <c r="FD42" i="4"/>
  <c r="FD41" i="4"/>
  <c r="FD40" i="4"/>
  <c r="FD39" i="4"/>
  <c r="FD38" i="4"/>
  <c r="FD37" i="4"/>
  <c r="FD36" i="4"/>
  <c r="FD35" i="4"/>
  <c r="FD34" i="4"/>
  <c r="FD33" i="4"/>
  <c r="FD32" i="4"/>
  <c r="FD31" i="4"/>
  <c r="FD30" i="4"/>
  <c r="FD29" i="4"/>
  <c r="FD28" i="4"/>
  <c r="FD27" i="4"/>
  <c r="FD26" i="4"/>
  <c r="FD25" i="4"/>
  <c r="FD24" i="4"/>
  <c r="FD23" i="4"/>
  <c r="FD22" i="4"/>
  <c r="FD21" i="4"/>
  <c r="FD20" i="4"/>
  <c r="FD19" i="4"/>
  <c r="FD18" i="4"/>
  <c r="FD17" i="4"/>
  <c r="FD16" i="4"/>
  <c r="FD15" i="4"/>
  <c r="FD14" i="4"/>
  <c r="FD13" i="4"/>
  <c r="FD12" i="4"/>
  <c r="V36" i="6"/>
  <c r="V35" i="6"/>
  <c r="V33" i="6"/>
  <c r="U36" i="6"/>
  <c r="I150" i="3"/>
  <c r="I151" i="3"/>
  <c r="I152" i="3"/>
  <c r="I153" i="3"/>
  <c r="T37" i="6"/>
  <c r="U37" i="6" s="1"/>
  <c r="T36" i="6"/>
  <c r="T35" i="6"/>
  <c r="U35" i="6" s="1"/>
  <c r="T34" i="6"/>
  <c r="V34" i="6" s="1"/>
  <c r="T33" i="6"/>
  <c r="S155" i="3"/>
  <c r="I9" i="4"/>
  <c r="I8" i="4"/>
  <c r="I7" i="4"/>
  <c r="I5" i="4"/>
  <c r="AZ9" i="4"/>
  <c r="AZ8" i="4"/>
  <c r="AZ7" i="4"/>
  <c r="AZ6" i="4"/>
  <c r="AZ5" i="4"/>
  <c r="I9" i="8"/>
  <c r="I7" i="8"/>
  <c r="I6" i="8"/>
  <c r="AW9" i="8"/>
  <c r="AW8" i="8"/>
  <c r="I8" i="8" s="1"/>
  <c r="AW7" i="8"/>
  <c r="AW6" i="8"/>
  <c r="AW5" i="8"/>
  <c r="I5" i="8" s="1"/>
  <c r="H3" i="4"/>
  <c r="EU71" i="4"/>
  <c r="EU70" i="4"/>
  <c r="EU69" i="4"/>
  <c r="EU68" i="4"/>
  <c r="EU67" i="4"/>
  <c r="EU66" i="4"/>
  <c r="EU65" i="4"/>
  <c r="EU64" i="4"/>
  <c r="EU63" i="4"/>
  <c r="EU62" i="4"/>
  <c r="EU61" i="4"/>
  <c r="EU60" i="4"/>
  <c r="EU59" i="4"/>
  <c r="EU58" i="4"/>
  <c r="EU57" i="4"/>
  <c r="EU56" i="4"/>
  <c r="EU55" i="4"/>
  <c r="EU54" i="4"/>
  <c r="EU53" i="4"/>
  <c r="EU52" i="4"/>
  <c r="EU51" i="4"/>
  <c r="EU50" i="4"/>
  <c r="EU49" i="4"/>
  <c r="EU48" i="4"/>
  <c r="EU47" i="4"/>
  <c r="EU46" i="4"/>
  <c r="EU45" i="4"/>
  <c r="EU44" i="4"/>
  <c r="EU43" i="4"/>
  <c r="EU42" i="4"/>
  <c r="EU41" i="4"/>
  <c r="EU40" i="4"/>
  <c r="EU39" i="4"/>
  <c r="EU38" i="4"/>
  <c r="EU37" i="4"/>
  <c r="EU36" i="4"/>
  <c r="EU35" i="4"/>
  <c r="EU34" i="4"/>
  <c r="EU33" i="4"/>
  <c r="EU32" i="4"/>
  <c r="EU31" i="4"/>
  <c r="EU30" i="4"/>
  <c r="EU29" i="4"/>
  <c r="EU28" i="4"/>
  <c r="EU27" i="4"/>
  <c r="EU26" i="4"/>
  <c r="EU25" i="4"/>
  <c r="EU24" i="4"/>
  <c r="EU23" i="4"/>
  <c r="EU22" i="4"/>
  <c r="EU21" i="4"/>
  <c r="EU20" i="4"/>
  <c r="EU19" i="4"/>
  <c r="EU18" i="4"/>
  <c r="EU17" i="4"/>
  <c r="EU16" i="4"/>
  <c r="EU15" i="4"/>
  <c r="EU14" i="4"/>
  <c r="EU13" i="4"/>
  <c r="EU12" i="4"/>
  <c r="EI71" i="4"/>
  <c r="EI70" i="4"/>
  <c r="EI69" i="4"/>
  <c r="EI68" i="4"/>
  <c r="EI67" i="4"/>
  <c r="EI66" i="4"/>
  <c r="EI65" i="4"/>
  <c r="EI64" i="4"/>
  <c r="EI63" i="4"/>
  <c r="EI62" i="4"/>
  <c r="EI61" i="4"/>
  <c r="EI60" i="4"/>
  <c r="EI59" i="4"/>
  <c r="EI58" i="4"/>
  <c r="EI57" i="4"/>
  <c r="EI56" i="4"/>
  <c r="EI55" i="4"/>
  <c r="EI54" i="4"/>
  <c r="EI53" i="4"/>
  <c r="EI52" i="4"/>
  <c r="EI51" i="4"/>
  <c r="EI50" i="4"/>
  <c r="EI49" i="4"/>
  <c r="EI48" i="4"/>
  <c r="EI47" i="4"/>
  <c r="EI46" i="4"/>
  <c r="EI45" i="4"/>
  <c r="EI44" i="4"/>
  <c r="EI43" i="4"/>
  <c r="EI42" i="4"/>
  <c r="EI41" i="4"/>
  <c r="EI40" i="4"/>
  <c r="EI39" i="4"/>
  <c r="EI38" i="4"/>
  <c r="EI37" i="4"/>
  <c r="EI36" i="4"/>
  <c r="EI35" i="4"/>
  <c r="EI34" i="4"/>
  <c r="EI33" i="4"/>
  <c r="EI32" i="4"/>
  <c r="EI31" i="4"/>
  <c r="EI30" i="4"/>
  <c r="EI29" i="4"/>
  <c r="EI28" i="4"/>
  <c r="EI27" i="4"/>
  <c r="EI26" i="4"/>
  <c r="EI25" i="4"/>
  <c r="EI24" i="4"/>
  <c r="EI23" i="4"/>
  <c r="EI22" i="4"/>
  <c r="EI21" i="4"/>
  <c r="EI20" i="4"/>
  <c r="EI19" i="4"/>
  <c r="EI18" i="4"/>
  <c r="EI17" i="4"/>
  <c r="EI16" i="4"/>
  <c r="EI15" i="4"/>
  <c r="EI14" i="4"/>
  <c r="EI13" i="4"/>
  <c r="EI12" i="4"/>
  <c r="EH12" i="4"/>
  <c r="M11" i="6"/>
  <c r="Q11" i="6"/>
  <c r="E54" i="6"/>
  <c r="EY71" i="4"/>
  <c r="EY70" i="4"/>
  <c r="EY69" i="4"/>
  <c r="EY68" i="4"/>
  <c r="EY67" i="4"/>
  <c r="EY66" i="4"/>
  <c r="EY65" i="4"/>
  <c r="EY64" i="4"/>
  <c r="EY63" i="4"/>
  <c r="EY62" i="4"/>
  <c r="EY61" i="4"/>
  <c r="EY60" i="4"/>
  <c r="EY59" i="4"/>
  <c r="EY58" i="4"/>
  <c r="EY57" i="4"/>
  <c r="EY56" i="4"/>
  <c r="EY55" i="4"/>
  <c r="EY54" i="4"/>
  <c r="EY53" i="4"/>
  <c r="EY52" i="4"/>
  <c r="EY51" i="4"/>
  <c r="EY50" i="4"/>
  <c r="EY49" i="4"/>
  <c r="EY48" i="4"/>
  <c r="EY47" i="4"/>
  <c r="EY46" i="4"/>
  <c r="EY45" i="4"/>
  <c r="EY44" i="4"/>
  <c r="EY43" i="4"/>
  <c r="EY42" i="4"/>
  <c r="EY41" i="4"/>
  <c r="EY40" i="4"/>
  <c r="EY39" i="4"/>
  <c r="EY38" i="4"/>
  <c r="EY37" i="4"/>
  <c r="EY36" i="4"/>
  <c r="EY35" i="4"/>
  <c r="EY34" i="4"/>
  <c r="EY33" i="4"/>
  <c r="EY32" i="4"/>
  <c r="EY31" i="4"/>
  <c r="EY30" i="4"/>
  <c r="EY29" i="4"/>
  <c r="EY28" i="4"/>
  <c r="EY27" i="4"/>
  <c r="EY26" i="4"/>
  <c r="EY25" i="4"/>
  <c r="EY24" i="4"/>
  <c r="EY23" i="4"/>
  <c r="EY22" i="4"/>
  <c r="EY21" i="4"/>
  <c r="EY20" i="4"/>
  <c r="EY19" i="4"/>
  <c r="EY18" i="4"/>
  <c r="EY17" i="4"/>
  <c r="EY16" i="4"/>
  <c r="EY15" i="4"/>
  <c r="EY14" i="4"/>
  <c r="EY13" i="4"/>
  <c r="EY12" i="4"/>
  <c r="EZ12" i="4"/>
  <c r="T38" i="6" l="1"/>
  <c r="V37" i="6"/>
  <c r="U34" i="6"/>
  <c r="V38" i="6"/>
  <c r="O149" i="3" s="1"/>
  <c r="U33" i="6"/>
  <c r="EI72" i="4"/>
  <c r="EU72" i="4"/>
  <c r="EY10" i="4"/>
  <c r="T45" i="6"/>
  <c r="T44" i="6"/>
  <c r="T43" i="6"/>
  <c r="T42" i="6"/>
  <c r="T41" i="6"/>
  <c r="U38" i="6" l="1"/>
  <c r="O148" i="3" s="1"/>
  <c r="W45" i="6"/>
  <c r="R114" i="3" s="1"/>
  <c r="W43" i="6"/>
  <c r="R112" i="3" s="1"/>
  <c r="V41" i="6"/>
  <c r="L110" i="3" s="1"/>
  <c r="V45" i="6"/>
  <c r="L114" i="3" s="1"/>
  <c r="W44" i="6"/>
  <c r="R113" i="3" s="1"/>
  <c r="V43" i="6"/>
  <c r="L112" i="3" s="1"/>
  <c r="W42" i="6"/>
  <c r="R111" i="3" s="1"/>
  <c r="V44" i="6"/>
  <c r="L113" i="3" s="1"/>
  <c r="V42" i="6"/>
  <c r="L111" i="3" s="1"/>
  <c r="W41" i="6"/>
  <c r="R110" i="3" s="1"/>
  <c r="P45" i="6"/>
  <c r="P44" i="6"/>
  <c r="P43" i="6"/>
  <c r="P42" i="6"/>
  <c r="P41" i="6"/>
  <c r="AA12" i="4"/>
  <c r="AC12" i="4"/>
  <c r="AE12" i="4"/>
  <c r="AG12" i="4"/>
  <c r="AI12" i="4"/>
  <c r="AA13" i="4"/>
  <c r="AC13" i="4"/>
  <c r="AE13" i="4"/>
  <c r="AG13" i="4"/>
  <c r="AI13" i="4"/>
  <c r="AA14" i="4"/>
  <c r="AC14" i="4"/>
  <c r="AE14" i="4"/>
  <c r="AG14" i="4"/>
  <c r="AI14" i="4"/>
  <c r="AA15" i="4"/>
  <c r="AC15" i="4"/>
  <c r="AE15" i="4"/>
  <c r="AG15" i="4"/>
  <c r="AI15" i="4"/>
  <c r="AA16" i="4"/>
  <c r="AC16" i="4"/>
  <c r="AE16" i="4"/>
  <c r="AG16" i="4"/>
  <c r="AI16" i="4"/>
  <c r="AA17" i="4"/>
  <c r="AC17" i="4"/>
  <c r="AE17" i="4"/>
  <c r="AG17" i="4"/>
  <c r="AI17" i="4"/>
  <c r="AA18" i="4"/>
  <c r="AC18" i="4"/>
  <c r="AE18" i="4"/>
  <c r="AG18" i="4"/>
  <c r="AI18" i="4"/>
  <c r="AB154" i="3"/>
  <c r="E53" i="6"/>
  <c r="B67" i="6"/>
  <c r="A66" i="6"/>
  <c r="B66" i="6"/>
  <c r="B65" i="6"/>
  <c r="X157" i="3"/>
  <c r="P37" i="6"/>
  <c r="P36" i="6"/>
  <c r="P35" i="6"/>
  <c r="P34" i="6"/>
  <c r="P33" i="6"/>
  <c r="D150" i="10"/>
  <c r="X146" i="10"/>
  <c r="AB143" i="10"/>
  <c r="B141" i="10"/>
  <c r="B140" i="10"/>
  <c r="B139" i="10"/>
  <c r="B138" i="10"/>
  <c r="B137" i="10"/>
  <c r="K136" i="10"/>
  <c r="B136" i="10"/>
  <c r="V133" i="10"/>
  <c r="L133" i="10"/>
  <c r="V132" i="10"/>
  <c r="L132" i="10"/>
  <c r="B132" i="10"/>
  <c r="V131" i="10"/>
  <c r="L131" i="10"/>
  <c r="V130" i="10"/>
  <c r="L130" i="10"/>
  <c r="V129" i="10"/>
  <c r="L129" i="10"/>
  <c r="V128" i="10"/>
  <c r="L128" i="10"/>
  <c r="B128" i="10"/>
  <c r="V127" i="10"/>
  <c r="L127" i="10"/>
  <c r="B127" i="10"/>
  <c r="V126" i="10"/>
  <c r="L126" i="10"/>
  <c r="B126" i="10"/>
  <c r="V125" i="10"/>
  <c r="L125" i="10"/>
  <c r="B125" i="10"/>
  <c r="H120" i="10"/>
  <c r="G118" i="10"/>
  <c r="R116" i="10"/>
  <c r="G116" i="10"/>
  <c r="S114" i="10"/>
  <c r="E114" i="10"/>
  <c r="E112" i="10"/>
  <c r="X110" i="10"/>
  <c r="T110" i="10"/>
  <c r="E110" i="10"/>
  <c r="AB108" i="10"/>
  <c r="X108" i="10"/>
  <c r="W108" i="10"/>
  <c r="V108" i="10"/>
  <c r="U108" i="10"/>
  <c r="T108" i="10"/>
  <c r="S108" i="10"/>
  <c r="R108" i="10"/>
  <c r="Q108" i="10"/>
  <c r="P108" i="10"/>
  <c r="O108" i="10"/>
  <c r="N108" i="10"/>
  <c r="M108" i="10"/>
  <c r="L108" i="10"/>
  <c r="K108" i="10"/>
  <c r="J108" i="10"/>
  <c r="I108" i="10"/>
  <c r="H108" i="10"/>
  <c r="G108" i="10"/>
  <c r="F108" i="10"/>
  <c r="E108" i="10"/>
  <c r="D108" i="10"/>
  <c r="C108" i="10"/>
  <c r="T84" i="10"/>
  <c r="Q84" i="10"/>
  <c r="N84" i="10"/>
  <c r="H84" i="10"/>
  <c r="Y16" i="10"/>
  <c r="Y4" i="10"/>
  <c r="Q4" i="10"/>
  <c r="E4" i="10"/>
  <c r="Y3" i="10"/>
  <c r="N3" i="10"/>
  <c r="A3" i="10"/>
  <c r="Y1" i="10"/>
  <c r="B143" i="3"/>
  <c r="Q3" i="6"/>
  <c r="F3" i="6" s="1"/>
  <c r="X113" i="3" l="1"/>
  <c r="W150" i="3" s="1"/>
  <c r="Y150" i="3" s="1"/>
  <c r="X114" i="3"/>
  <c r="W151" i="3" s="1"/>
  <c r="Y151" i="3" s="1"/>
  <c r="X112" i="3"/>
  <c r="W149" i="3" s="1"/>
  <c r="Y149" i="3" s="1"/>
  <c r="P46" i="6"/>
  <c r="W152" i="3" s="1"/>
  <c r="Y152" i="3" s="1"/>
  <c r="X110" i="3"/>
  <c r="W147" i="3" s="1"/>
  <c r="Y147" i="3" s="1"/>
  <c r="X111" i="3"/>
  <c r="W148" i="3" s="1"/>
  <c r="Y148" i="3" s="1"/>
  <c r="P38" i="6"/>
  <c r="AA84" i="10"/>
  <c r="BU12" i="8"/>
  <c r="BU13" i="8"/>
  <c r="BU14" i="8"/>
  <c r="BU15" i="8"/>
  <c r="BU16" i="8"/>
  <c r="BU17" i="8"/>
  <c r="BU18" i="8"/>
  <c r="BU19" i="8"/>
  <c r="BU20" i="8"/>
  <c r="BU21" i="8"/>
  <c r="BU22" i="8"/>
  <c r="BU23" i="8"/>
  <c r="BU24" i="8"/>
  <c r="BU25" i="8"/>
  <c r="BU26" i="8"/>
  <c r="BU27" i="8"/>
  <c r="BU28" i="8"/>
  <c r="BU29" i="8"/>
  <c r="BU30" i="8"/>
  <c r="BU31" i="8"/>
  <c r="BU32" i="8"/>
  <c r="BU33" i="8"/>
  <c r="BU34" i="8"/>
  <c r="BU35" i="8"/>
  <c r="BU36" i="8"/>
  <c r="BU37" i="8"/>
  <c r="BU38" i="8"/>
  <c r="BU39" i="8"/>
  <c r="BU40" i="8"/>
  <c r="BU41" i="8"/>
  <c r="BU42" i="8"/>
  <c r="BU43" i="8"/>
  <c r="BU44" i="8"/>
  <c r="BU45" i="8"/>
  <c r="BU46" i="8"/>
  <c r="BU47" i="8"/>
  <c r="BU48" i="8"/>
  <c r="BU49" i="8"/>
  <c r="BU50" i="8"/>
  <c r="BU51" i="8"/>
  <c r="BU52" i="8"/>
  <c r="BU53" i="8"/>
  <c r="BU54" i="8"/>
  <c r="BU55" i="8"/>
  <c r="BU56" i="8"/>
  <c r="BU57" i="8"/>
  <c r="BU58" i="8"/>
  <c r="BU59" i="8"/>
  <c r="BU60" i="8"/>
  <c r="BU61" i="8"/>
  <c r="BU62" i="8"/>
  <c r="BU63" i="8"/>
  <c r="BU64" i="8"/>
  <c r="BU65" i="8"/>
  <c r="BU66" i="8"/>
  <c r="BU67" i="8"/>
  <c r="BU68" i="8"/>
  <c r="BU69" i="8"/>
  <c r="BU70" i="8"/>
  <c r="BU71" i="8"/>
  <c r="BP63" i="8"/>
  <c r="BN12" i="8"/>
  <c r="BN13" i="8"/>
  <c r="BN14" i="8"/>
  <c r="BN15" i="8"/>
  <c r="BN16" i="8"/>
  <c r="BN17" i="8"/>
  <c r="BN18" i="8"/>
  <c r="BN19" i="8"/>
  <c r="BN20" i="8"/>
  <c r="BN21" i="8"/>
  <c r="BN22" i="8"/>
  <c r="BN23" i="8"/>
  <c r="BN24" i="8"/>
  <c r="BN25" i="8"/>
  <c r="BN26" i="8"/>
  <c r="BN27" i="8"/>
  <c r="BN28" i="8"/>
  <c r="BN29" i="8"/>
  <c r="BN30" i="8"/>
  <c r="BN31" i="8"/>
  <c r="BN32" i="8"/>
  <c r="BN33" i="8"/>
  <c r="BN34" i="8"/>
  <c r="BN35" i="8"/>
  <c r="BN36" i="8"/>
  <c r="BN37" i="8"/>
  <c r="BN38" i="8"/>
  <c r="BN39" i="8"/>
  <c r="BN40" i="8"/>
  <c r="BN41" i="8"/>
  <c r="BN42" i="8"/>
  <c r="BN43" i="8"/>
  <c r="BN44" i="8"/>
  <c r="BN45" i="8"/>
  <c r="BN46" i="8"/>
  <c r="BN47" i="8"/>
  <c r="BN48" i="8"/>
  <c r="BN49" i="8"/>
  <c r="BN50" i="8"/>
  <c r="BN51" i="8"/>
  <c r="BN52" i="8"/>
  <c r="BN53" i="8"/>
  <c r="BN54" i="8"/>
  <c r="BN55" i="8"/>
  <c r="BN56" i="8"/>
  <c r="BN57" i="8"/>
  <c r="BN58" i="8"/>
  <c r="BN59" i="8"/>
  <c r="BN60" i="8"/>
  <c r="BN61" i="8"/>
  <c r="BN62" i="8"/>
  <c r="BN63" i="8"/>
  <c r="BN64" i="8"/>
  <c r="BN65" i="8"/>
  <c r="BN66" i="8"/>
  <c r="BN67" i="8"/>
  <c r="BN68" i="8"/>
  <c r="BN69" i="8"/>
  <c r="BN70" i="8"/>
  <c r="BN71" i="8"/>
  <c r="BM12" i="8"/>
  <c r="BM13" i="8"/>
  <c r="BM14" i="8"/>
  <c r="BM15" i="8"/>
  <c r="BM16" i="8"/>
  <c r="BM17" i="8"/>
  <c r="BM18" i="8"/>
  <c r="BM19" i="8"/>
  <c r="BM20" i="8"/>
  <c r="BM21" i="8"/>
  <c r="BM22" i="8"/>
  <c r="BM23" i="8"/>
  <c r="BM24" i="8"/>
  <c r="BM25" i="8"/>
  <c r="BM26" i="8"/>
  <c r="BM27" i="8"/>
  <c r="BM28" i="8"/>
  <c r="BM29" i="8"/>
  <c r="BM30" i="8"/>
  <c r="BM31" i="8"/>
  <c r="BM32" i="8"/>
  <c r="BM33" i="8"/>
  <c r="BM34" i="8"/>
  <c r="BM35" i="8"/>
  <c r="BM36" i="8"/>
  <c r="BM37" i="8"/>
  <c r="BM38" i="8"/>
  <c r="BM39" i="8"/>
  <c r="BM40" i="8"/>
  <c r="BM41" i="8"/>
  <c r="BM42" i="8"/>
  <c r="BM43" i="8"/>
  <c r="BM44" i="8"/>
  <c r="BM45" i="8"/>
  <c r="BM46" i="8"/>
  <c r="BM47" i="8"/>
  <c r="BM48" i="8"/>
  <c r="BM49" i="8"/>
  <c r="BM50" i="8"/>
  <c r="BM51" i="8"/>
  <c r="BM52" i="8"/>
  <c r="BM53" i="8"/>
  <c r="BM54" i="8"/>
  <c r="BM55" i="8"/>
  <c r="BM56" i="8"/>
  <c r="BM57" i="8"/>
  <c r="BM58" i="8"/>
  <c r="BM59" i="8"/>
  <c r="BM60" i="8"/>
  <c r="BM61" i="8"/>
  <c r="BM62" i="8"/>
  <c r="BM63" i="8"/>
  <c r="BM64" i="8"/>
  <c r="BM65" i="8"/>
  <c r="BM66" i="8"/>
  <c r="BM67" i="8"/>
  <c r="BM68" i="8"/>
  <c r="BM69" i="8"/>
  <c r="BM70" i="8"/>
  <c r="BM71" i="8"/>
  <c r="BL12" i="8"/>
  <c r="BL13" i="8"/>
  <c r="BL14" i="8"/>
  <c r="BL15" i="8"/>
  <c r="BL16" i="8"/>
  <c r="BL17" i="8"/>
  <c r="BL18" i="8"/>
  <c r="BL19" i="8"/>
  <c r="BL20" i="8"/>
  <c r="BL21" i="8"/>
  <c r="BL22" i="8"/>
  <c r="BL23" i="8"/>
  <c r="BL24" i="8"/>
  <c r="BL25" i="8"/>
  <c r="BL26" i="8"/>
  <c r="BL27" i="8"/>
  <c r="BL28" i="8"/>
  <c r="BL29" i="8"/>
  <c r="BL30" i="8"/>
  <c r="BL31" i="8"/>
  <c r="BL32" i="8"/>
  <c r="BL33" i="8"/>
  <c r="BL34" i="8"/>
  <c r="BL35" i="8"/>
  <c r="BL36" i="8"/>
  <c r="BL37" i="8"/>
  <c r="BL38" i="8"/>
  <c r="BL39" i="8"/>
  <c r="BL40" i="8"/>
  <c r="BL41" i="8"/>
  <c r="BL42" i="8"/>
  <c r="BL43" i="8"/>
  <c r="BL44" i="8"/>
  <c r="BL45" i="8"/>
  <c r="BL46" i="8"/>
  <c r="BL47" i="8"/>
  <c r="BL48" i="8"/>
  <c r="BL49" i="8"/>
  <c r="BL50" i="8"/>
  <c r="BL51" i="8"/>
  <c r="BL52" i="8"/>
  <c r="BL53" i="8"/>
  <c r="BL54" i="8"/>
  <c r="BL55" i="8"/>
  <c r="BL56" i="8"/>
  <c r="BL57" i="8"/>
  <c r="BL58" i="8"/>
  <c r="BL59" i="8"/>
  <c r="BL60" i="8"/>
  <c r="BL61" i="8"/>
  <c r="BL62" i="8"/>
  <c r="BL63" i="8"/>
  <c r="BL64" i="8"/>
  <c r="BL65" i="8"/>
  <c r="BL66" i="8"/>
  <c r="BL67" i="8"/>
  <c r="BL68" i="8"/>
  <c r="BL69" i="8"/>
  <c r="BL70" i="8"/>
  <c r="BL71" i="8"/>
  <c r="BK12" i="8"/>
  <c r="BK13" i="8"/>
  <c r="BK14" i="8"/>
  <c r="BK15" i="8"/>
  <c r="BK16" i="8"/>
  <c r="BK17" i="8"/>
  <c r="BK18" i="8"/>
  <c r="BK19" i="8"/>
  <c r="BK20" i="8"/>
  <c r="BK21" i="8"/>
  <c r="BK22" i="8"/>
  <c r="BK23" i="8"/>
  <c r="BK24" i="8"/>
  <c r="BK25" i="8"/>
  <c r="BK26" i="8"/>
  <c r="BK27" i="8"/>
  <c r="BK28" i="8"/>
  <c r="BK29" i="8"/>
  <c r="BK30" i="8"/>
  <c r="BK31" i="8"/>
  <c r="BK32" i="8"/>
  <c r="BK33" i="8"/>
  <c r="BK34" i="8"/>
  <c r="BK35" i="8"/>
  <c r="BK36" i="8"/>
  <c r="BK37" i="8"/>
  <c r="BK38" i="8"/>
  <c r="BK39" i="8"/>
  <c r="BK40" i="8"/>
  <c r="BK41" i="8"/>
  <c r="BK42" i="8"/>
  <c r="BK43" i="8"/>
  <c r="BK44" i="8"/>
  <c r="BK45" i="8"/>
  <c r="BK46" i="8"/>
  <c r="BK47" i="8"/>
  <c r="BK48" i="8"/>
  <c r="BK49" i="8"/>
  <c r="BK50" i="8"/>
  <c r="BK51" i="8"/>
  <c r="BK52" i="8"/>
  <c r="BK53" i="8"/>
  <c r="BK54" i="8"/>
  <c r="BK55" i="8"/>
  <c r="BK56" i="8"/>
  <c r="BK57" i="8"/>
  <c r="BK58" i="8"/>
  <c r="BK59" i="8"/>
  <c r="BK60" i="8"/>
  <c r="BK61" i="8"/>
  <c r="BK62" i="8"/>
  <c r="BK63" i="8"/>
  <c r="BK64" i="8"/>
  <c r="BK65" i="8"/>
  <c r="BK66" i="8"/>
  <c r="BK67" i="8"/>
  <c r="BK68" i="8"/>
  <c r="BK69" i="8"/>
  <c r="BK70" i="8"/>
  <c r="BK71" i="8"/>
  <c r="BJ12" i="8"/>
  <c r="BJ13" i="8"/>
  <c r="BJ14" i="8"/>
  <c r="BJ15" i="8"/>
  <c r="BJ16" i="8"/>
  <c r="BJ17" i="8"/>
  <c r="BJ18" i="8"/>
  <c r="BJ19" i="8"/>
  <c r="BJ20" i="8"/>
  <c r="BJ21" i="8"/>
  <c r="BJ22" i="8"/>
  <c r="BJ23" i="8"/>
  <c r="BJ24" i="8"/>
  <c r="BJ25" i="8"/>
  <c r="BJ26" i="8"/>
  <c r="BJ27" i="8"/>
  <c r="BJ28" i="8"/>
  <c r="BJ29" i="8"/>
  <c r="BJ30" i="8"/>
  <c r="BJ31" i="8"/>
  <c r="BJ32" i="8"/>
  <c r="BJ33" i="8"/>
  <c r="BJ34" i="8"/>
  <c r="BJ35" i="8"/>
  <c r="BJ36" i="8"/>
  <c r="BJ37" i="8"/>
  <c r="BJ38" i="8"/>
  <c r="BJ39" i="8"/>
  <c r="BJ40" i="8"/>
  <c r="BJ41" i="8"/>
  <c r="BJ42" i="8"/>
  <c r="BJ43" i="8"/>
  <c r="BJ44" i="8"/>
  <c r="BJ45" i="8"/>
  <c r="BJ46" i="8"/>
  <c r="BJ47" i="8"/>
  <c r="BJ48" i="8"/>
  <c r="BJ49" i="8"/>
  <c r="BJ50" i="8"/>
  <c r="BJ51" i="8"/>
  <c r="BJ52" i="8"/>
  <c r="BJ53" i="8"/>
  <c r="BJ54" i="8"/>
  <c r="BJ55" i="8"/>
  <c r="BJ56" i="8"/>
  <c r="BJ57" i="8"/>
  <c r="BJ58" i="8"/>
  <c r="BJ59" i="8"/>
  <c r="BJ60" i="8"/>
  <c r="BJ61" i="8"/>
  <c r="BJ62" i="8"/>
  <c r="BJ63" i="8"/>
  <c r="BJ64" i="8"/>
  <c r="BJ65" i="8"/>
  <c r="BJ66" i="8"/>
  <c r="BJ67" i="8"/>
  <c r="BJ68" i="8"/>
  <c r="BJ69" i="8"/>
  <c r="BJ70" i="8"/>
  <c r="BJ71" i="8"/>
  <c r="BI12" i="8"/>
  <c r="BI13" i="8"/>
  <c r="BI14" i="8"/>
  <c r="BI15" i="8"/>
  <c r="BI16" i="8"/>
  <c r="BI17" i="8"/>
  <c r="BI18" i="8"/>
  <c r="BI19" i="8"/>
  <c r="BI20" i="8"/>
  <c r="BI21" i="8"/>
  <c r="BI22" i="8"/>
  <c r="BI23" i="8"/>
  <c r="BI24" i="8"/>
  <c r="BI25" i="8"/>
  <c r="BI26" i="8"/>
  <c r="BI27" i="8"/>
  <c r="BI28" i="8"/>
  <c r="BI29" i="8"/>
  <c r="BI30" i="8"/>
  <c r="BI31" i="8"/>
  <c r="BI32" i="8"/>
  <c r="BI33" i="8"/>
  <c r="BI34" i="8"/>
  <c r="BI35" i="8"/>
  <c r="BI36" i="8"/>
  <c r="BI37" i="8"/>
  <c r="BI38" i="8"/>
  <c r="BI39" i="8"/>
  <c r="BI40" i="8"/>
  <c r="BI41" i="8"/>
  <c r="BI42" i="8"/>
  <c r="BI43" i="8"/>
  <c r="BI44" i="8"/>
  <c r="BI45" i="8"/>
  <c r="BI46" i="8"/>
  <c r="BI47" i="8"/>
  <c r="BI48" i="8"/>
  <c r="BI49" i="8"/>
  <c r="BI50" i="8"/>
  <c r="BI51" i="8"/>
  <c r="BI52" i="8"/>
  <c r="BI53" i="8"/>
  <c r="BI54" i="8"/>
  <c r="BI55" i="8"/>
  <c r="BI56" i="8"/>
  <c r="BI57" i="8"/>
  <c r="BI58" i="8"/>
  <c r="BI59" i="8"/>
  <c r="BI60" i="8"/>
  <c r="BI61" i="8"/>
  <c r="BI62" i="8"/>
  <c r="BI63" i="8"/>
  <c r="BI64" i="8"/>
  <c r="BI65" i="8"/>
  <c r="BI66" i="8"/>
  <c r="BI67" i="8"/>
  <c r="BI68" i="8"/>
  <c r="BI69" i="8"/>
  <c r="BI70" i="8"/>
  <c r="BI71" i="8"/>
  <c r="BH12" i="8"/>
  <c r="BH13" i="8"/>
  <c r="BH14" i="8"/>
  <c r="BH15" i="8"/>
  <c r="BH16" i="8"/>
  <c r="BH17" i="8"/>
  <c r="BH18" i="8"/>
  <c r="BH19" i="8"/>
  <c r="BH20" i="8"/>
  <c r="BH21" i="8"/>
  <c r="BH22" i="8"/>
  <c r="BH23" i="8"/>
  <c r="BH24" i="8"/>
  <c r="BH25" i="8"/>
  <c r="BH26" i="8"/>
  <c r="BH27" i="8"/>
  <c r="BH28" i="8"/>
  <c r="BH29" i="8"/>
  <c r="BH30" i="8"/>
  <c r="BH31" i="8"/>
  <c r="BH32" i="8"/>
  <c r="BH33" i="8"/>
  <c r="BH34" i="8"/>
  <c r="BH35" i="8"/>
  <c r="BH36" i="8"/>
  <c r="BH37" i="8"/>
  <c r="BH38" i="8"/>
  <c r="BH39" i="8"/>
  <c r="BH40" i="8"/>
  <c r="BH41" i="8"/>
  <c r="BH42" i="8"/>
  <c r="BH43" i="8"/>
  <c r="BH44" i="8"/>
  <c r="BH45" i="8"/>
  <c r="BH46" i="8"/>
  <c r="BH47" i="8"/>
  <c r="BH48" i="8"/>
  <c r="BH49" i="8"/>
  <c r="BH50" i="8"/>
  <c r="BH51" i="8"/>
  <c r="BH52" i="8"/>
  <c r="BH53" i="8"/>
  <c r="BH54" i="8"/>
  <c r="BH55" i="8"/>
  <c r="BH56" i="8"/>
  <c r="BH57" i="8"/>
  <c r="BH58" i="8"/>
  <c r="BH59" i="8"/>
  <c r="BH60" i="8"/>
  <c r="BH61" i="8"/>
  <c r="BH62" i="8"/>
  <c r="BH63" i="8"/>
  <c r="BH64" i="8"/>
  <c r="BH65" i="8"/>
  <c r="BH66" i="8"/>
  <c r="BH67" i="8"/>
  <c r="BH68" i="8"/>
  <c r="BH69" i="8"/>
  <c r="BH70" i="8"/>
  <c r="BH71" i="8"/>
  <c r="BG12" i="8"/>
  <c r="BG13" i="8"/>
  <c r="BG14" i="8"/>
  <c r="BG15" i="8"/>
  <c r="BG16" i="8"/>
  <c r="BG17" i="8"/>
  <c r="BG18" i="8"/>
  <c r="BG19" i="8"/>
  <c r="BG20" i="8"/>
  <c r="BG21" i="8"/>
  <c r="BG22" i="8"/>
  <c r="BG23" i="8"/>
  <c r="BG24" i="8"/>
  <c r="BG25" i="8"/>
  <c r="BG26" i="8"/>
  <c r="BG27" i="8"/>
  <c r="BG28" i="8"/>
  <c r="BG29" i="8"/>
  <c r="BG30" i="8"/>
  <c r="BG31" i="8"/>
  <c r="BG32" i="8"/>
  <c r="BG33" i="8"/>
  <c r="BG34" i="8"/>
  <c r="BG35" i="8"/>
  <c r="BG36" i="8"/>
  <c r="BG37" i="8"/>
  <c r="BG38" i="8"/>
  <c r="BG39" i="8"/>
  <c r="BG40" i="8"/>
  <c r="BG41" i="8"/>
  <c r="BG42" i="8"/>
  <c r="BG43" i="8"/>
  <c r="BG44" i="8"/>
  <c r="BG45" i="8"/>
  <c r="BG46" i="8"/>
  <c r="BG47" i="8"/>
  <c r="BG48" i="8"/>
  <c r="BG49" i="8"/>
  <c r="BG50" i="8"/>
  <c r="BG51" i="8"/>
  <c r="BG52" i="8"/>
  <c r="BG53" i="8"/>
  <c r="BG54" i="8"/>
  <c r="BG55" i="8"/>
  <c r="BG56" i="8"/>
  <c r="BG57" i="8"/>
  <c r="BG58" i="8"/>
  <c r="BG59" i="8"/>
  <c r="BG60" i="8"/>
  <c r="BG61" i="8"/>
  <c r="BG62" i="8"/>
  <c r="BG63" i="8"/>
  <c r="BG64" i="8"/>
  <c r="BG65" i="8"/>
  <c r="BG66" i="8"/>
  <c r="BG67" i="8"/>
  <c r="BG68" i="8"/>
  <c r="BG69" i="8"/>
  <c r="BG70" i="8"/>
  <c r="BG71" i="8"/>
  <c r="BE63" i="8"/>
  <c r="BD63" i="8"/>
  <c r="AX12" i="8"/>
  <c r="AW12" i="8"/>
  <c r="BA12" i="8" s="1"/>
  <c r="AX13" i="8"/>
  <c r="AW13" i="8"/>
  <c r="AX14" i="8"/>
  <c r="AW14" i="8"/>
  <c r="AX15" i="8"/>
  <c r="AW15" i="8"/>
  <c r="AX16" i="8"/>
  <c r="AW16" i="8"/>
  <c r="AX17" i="8"/>
  <c r="AW17" i="8"/>
  <c r="AX18" i="8"/>
  <c r="AW18" i="8"/>
  <c r="AX19" i="8"/>
  <c r="AW19" i="8"/>
  <c r="AX20" i="8"/>
  <c r="AW20" i="8"/>
  <c r="AX21" i="8"/>
  <c r="AW21" i="8"/>
  <c r="AX22" i="8"/>
  <c r="AW22" i="8"/>
  <c r="AX23" i="8"/>
  <c r="AW23" i="8"/>
  <c r="AX24" i="8"/>
  <c r="AW24" i="8"/>
  <c r="AX25" i="8"/>
  <c r="AW25" i="8"/>
  <c r="AX26" i="8"/>
  <c r="AW26" i="8"/>
  <c r="AX27" i="8"/>
  <c r="AW27" i="8"/>
  <c r="AX28" i="8"/>
  <c r="AW28" i="8"/>
  <c r="AX29" i="8"/>
  <c r="AW29" i="8"/>
  <c r="AX30" i="8"/>
  <c r="AW30" i="8"/>
  <c r="AX31" i="8"/>
  <c r="AW31" i="8"/>
  <c r="AX32" i="8"/>
  <c r="AW32" i="8"/>
  <c r="AX33" i="8"/>
  <c r="AW33" i="8"/>
  <c r="DJ34" i="8"/>
  <c r="DK34" i="8" s="1"/>
  <c r="DJ35" i="8"/>
  <c r="DK35" i="8" s="1"/>
  <c r="DJ36" i="8"/>
  <c r="DK36" i="8" s="1"/>
  <c r="DJ37" i="8"/>
  <c r="DK37" i="8" s="1"/>
  <c r="DJ38" i="8"/>
  <c r="DK38" i="8" s="1"/>
  <c r="DJ39" i="8"/>
  <c r="DK39" i="8" s="1"/>
  <c r="DJ40" i="8"/>
  <c r="DK40" i="8" s="1"/>
  <c r="DJ41" i="8"/>
  <c r="DK41" i="8" s="1"/>
  <c r="DJ42" i="8"/>
  <c r="DK42" i="8" s="1"/>
  <c r="DJ43" i="8"/>
  <c r="DK43" i="8" s="1"/>
  <c r="DJ44" i="8"/>
  <c r="DK44" i="8" s="1"/>
  <c r="DJ45" i="8"/>
  <c r="DK45" i="8" s="1"/>
  <c r="DJ46" i="8"/>
  <c r="DK46" i="8" s="1"/>
  <c r="DJ47" i="8"/>
  <c r="DK47" i="8" s="1"/>
  <c r="DJ48" i="8"/>
  <c r="DJ49" i="8"/>
  <c r="DK49" i="8" s="1"/>
  <c r="DJ50" i="8"/>
  <c r="DK50" i="8" s="1"/>
  <c r="DJ51" i="8"/>
  <c r="DK51" i="8" s="1"/>
  <c r="DJ52" i="8"/>
  <c r="DK52" i="8" s="1"/>
  <c r="DJ53" i="8"/>
  <c r="DK53" i="8" s="1"/>
  <c r="DJ54" i="8"/>
  <c r="DK54" i="8" s="1"/>
  <c r="DJ55" i="8"/>
  <c r="DK55" i="8" s="1"/>
  <c r="DJ56" i="8"/>
  <c r="DK56" i="8" s="1"/>
  <c r="DJ57" i="8"/>
  <c r="DK57" i="8" s="1"/>
  <c r="DJ58" i="8"/>
  <c r="DK58" i="8" s="1"/>
  <c r="DJ59" i="8"/>
  <c r="DK59" i="8" s="1"/>
  <c r="DJ60" i="8"/>
  <c r="DK60" i="8" s="1"/>
  <c r="DJ61" i="8"/>
  <c r="DK61" i="8" s="1"/>
  <c r="DJ62" i="8"/>
  <c r="DK62" i="8" s="1"/>
  <c r="DJ63" i="8"/>
  <c r="DK63" i="8" s="1"/>
  <c r="DJ64" i="8"/>
  <c r="DJ65" i="8"/>
  <c r="DK65" i="8" s="1"/>
  <c r="DJ66" i="8"/>
  <c r="DK66" i="8" s="1"/>
  <c r="DJ67" i="8"/>
  <c r="DK67" i="8" s="1"/>
  <c r="DJ68" i="8"/>
  <c r="DJ69" i="8"/>
  <c r="DK69" i="8" s="1"/>
  <c r="DJ70" i="8"/>
  <c r="DK70" i="8" s="1"/>
  <c r="DJ71" i="8"/>
  <c r="DK71" i="8" s="1"/>
  <c r="DH34" i="8"/>
  <c r="DI34" i="8" s="1"/>
  <c r="DH35" i="8"/>
  <c r="DI35" i="8" s="1"/>
  <c r="DH36" i="8"/>
  <c r="DI36" i="8" s="1"/>
  <c r="DH37" i="8"/>
  <c r="DI37" i="8" s="1"/>
  <c r="DH38" i="8"/>
  <c r="DI38" i="8" s="1"/>
  <c r="DH39" i="8"/>
  <c r="DI39" i="8" s="1"/>
  <c r="DH40" i="8"/>
  <c r="DI40" i="8" s="1"/>
  <c r="DH41" i="8"/>
  <c r="DI41" i="8" s="1"/>
  <c r="DH42" i="8"/>
  <c r="DI42" i="8" s="1"/>
  <c r="DH43" i="8"/>
  <c r="DI43" i="8" s="1"/>
  <c r="DH44" i="8"/>
  <c r="DI44" i="8" s="1"/>
  <c r="DH45" i="8"/>
  <c r="DI45" i="8" s="1"/>
  <c r="DH46" i="8"/>
  <c r="DI46" i="8" s="1"/>
  <c r="DH47" i="8"/>
  <c r="DI47" i="8" s="1"/>
  <c r="DH48" i="8"/>
  <c r="DI48" i="8" s="1"/>
  <c r="DH49" i="8"/>
  <c r="DI49" i="8" s="1"/>
  <c r="DH50" i="8"/>
  <c r="DI50" i="8" s="1"/>
  <c r="DH51" i="8"/>
  <c r="DI51" i="8" s="1"/>
  <c r="DH52" i="8"/>
  <c r="DI52" i="8" s="1"/>
  <c r="DH53" i="8"/>
  <c r="DI53" i="8" s="1"/>
  <c r="DH54" i="8"/>
  <c r="DI54" i="8" s="1"/>
  <c r="DH55" i="8"/>
  <c r="DI55" i="8" s="1"/>
  <c r="DH56" i="8"/>
  <c r="DI56" i="8" s="1"/>
  <c r="DH57" i="8"/>
  <c r="DI57" i="8" s="1"/>
  <c r="DH58" i="8"/>
  <c r="DI58" i="8" s="1"/>
  <c r="DH59" i="8"/>
  <c r="DI59" i="8" s="1"/>
  <c r="DH60" i="8"/>
  <c r="DI60" i="8" s="1"/>
  <c r="DH61" i="8"/>
  <c r="DI61" i="8" s="1"/>
  <c r="DH62" i="8"/>
  <c r="DI62" i="8" s="1"/>
  <c r="DH63" i="8"/>
  <c r="DI63" i="8" s="1"/>
  <c r="DH64" i="8"/>
  <c r="DI64" i="8" s="1"/>
  <c r="DH65" i="8"/>
  <c r="DI65" i="8" s="1"/>
  <c r="DH66" i="8"/>
  <c r="DI66" i="8" s="1"/>
  <c r="DH67" i="8"/>
  <c r="DH68" i="8"/>
  <c r="DI68" i="8" s="1"/>
  <c r="DH69" i="8"/>
  <c r="DI69" i="8" s="1"/>
  <c r="DH70" i="8"/>
  <c r="DI70" i="8" s="1"/>
  <c r="DH71" i="8"/>
  <c r="DI71" i="8" s="1"/>
  <c r="DF34" i="8"/>
  <c r="DG34" i="8" s="1"/>
  <c r="DF35" i="8"/>
  <c r="DG35" i="8" s="1"/>
  <c r="DF36" i="8"/>
  <c r="DG36" i="8" s="1"/>
  <c r="DF37" i="8"/>
  <c r="DG37" i="8" s="1"/>
  <c r="DF38" i="8"/>
  <c r="DG38" i="8" s="1"/>
  <c r="DF39" i="8"/>
  <c r="DG39" i="8" s="1"/>
  <c r="DF40" i="8"/>
  <c r="DG40" i="8" s="1"/>
  <c r="DF41" i="8"/>
  <c r="DG41" i="8" s="1"/>
  <c r="DF42" i="8"/>
  <c r="DG42" i="8" s="1"/>
  <c r="DF43" i="8"/>
  <c r="DG43" i="8" s="1"/>
  <c r="DF44" i="8"/>
  <c r="DG44" i="8" s="1"/>
  <c r="DF45" i="8"/>
  <c r="DG45" i="8" s="1"/>
  <c r="DF46" i="8"/>
  <c r="DG46" i="8" s="1"/>
  <c r="DF47" i="8"/>
  <c r="DG47" i="8" s="1"/>
  <c r="DF48" i="8"/>
  <c r="DG48" i="8" s="1"/>
  <c r="DF49" i="8"/>
  <c r="DG49" i="8" s="1"/>
  <c r="DF50" i="8"/>
  <c r="DG50" i="8" s="1"/>
  <c r="DF51" i="8"/>
  <c r="DG51" i="8" s="1"/>
  <c r="DF52" i="8"/>
  <c r="DG52" i="8" s="1"/>
  <c r="DF53" i="8"/>
  <c r="DG53" i="8" s="1"/>
  <c r="DF54" i="8"/>
  <c r="DG54" i="8" s="1"/>
  <c r="DF55" i="8"/>
  <c r="DG55" i="8" s="1"/>
  <c r="DF56" i="8"/>
  <c r="DF57" i="8"/>
  <c r="DF58" i="8"/>
  <c r="DG58" i="8" s="1"/>
  <c r="DF59" i="8"/>
  <c r="DG59" i="8" s="1"/>
  <c r="DF60" i="8"/>
  <c r="DG60" i="8" s="1"/>
  <c r="DF61" i="8"/>
  <c r="DG61" i="8" s="1"/>
  <c r="DF62" i="8"/>
  <c r="DG62" i="8" s="1"/>
  <c r="DF63" i="8"/>
  <c r="DG63" i="8" s="1"/>
  <c r="DF64" i="8"/>
  <c r="DF65" i="8"/>
  <c r="DG65" i="8" s="1"/>
  <c r="DF66" i="8"/>
  <c r="DG66" i="8" s="1"/>
  <c r="DF67" i="8"/>
  <c r="DG67" i="8" s="1"/>
  <c r="DF68" i="8"/>
  <c r="DF69" i="8"/>
  <c r="DG69" i="8" s="1"/>
  <c r="DF70" i="8"/>
  <c r="DG70" i="8" s="1"/>
  <c r="DF71" i="8"/>
  <c r="DG71" i="8" s="1"/>
  <c r="DQ12" i="8"/>
  <c r="DQ13" i="8"/>
  <c r="DQ14" i="8"/>
  <c r="DQ15" i="8"/>
  <c r="DQ16" i="8"/>
  <c r="DQ17" i="8"/>
  <c r="DQ18" i="8"/>
  <c r="DQ19" i="8"/>
  <c r="DQ20" i="8"/>
  <c r="DQ21" i="8"/>
  <c r="DQ22" i="8"/>
  <c r="DQ23" i="8"/>
  <c r="DQ24" i="8"/>
  <c r="DQ25" i="8"/>
  <c r="DQ26" i="8"/>
  <c r="DQ27" i="8"/>
  <c r="DQ28" i="8"/>
  <c r="DQ29" i="8"/>
  <c r="DQ30" i="8"/>
  <c r="DQ31" i="8"/>
  <c r="DQ32" i="8"/>
  <c r="DQ33" i="8"/>
  <c r="DQ34" i="8"/>
  <c r="DQ35" i="8"/>
  <c r="DQ36" i="8"/>
  <c r="DV40" i="8" s="1"/>
  <c r="DQ37" i="8"/>
  <c r="DV28" i="8" s="1"/>
  <c r="DQ38" i="8"/>
  <c r="DQ39" i="8"/>
  <c r="DQ40" i="8"/>
  <c r="DQ41" i="8"/>
  <c r="DQ42" i="8"/>
  <c r="DQ43" i="8"/>
  <c r="DQ44" i="8"/>
  <c r="DQ45" i="8"/>
  <c r="DQ46" i="8"/>
  <c r="DQ47" i="8"/>
  <c r="DQ48" i="8"/>
  <c r="DQ49" i="8"/>
  <c r="DQ50" i="8"/>
  <c r="DQ51" i="8"/>
  <c r="DQ52" i="8"/>
  <c r="DQ53" i="8"/>
  <c r="DQ54" i="8"/>
  <c r="DQ55" i="8"/>
  <c r="DQ56" i="8"/>
  <c r="DQ57" i="8"/>
  <c r="DQ58" i="8"/>
  <c r="DQ59" i="8"/>
  <c r="DQ60" i="8"/>
  <c r="DQ61" i="8"/>
  <c r="DQ62" i="8"/>
  <c r="DQ63" i="8"/>
  <c r="DQ64" i="8"/>
  <c r="DQ65" i="8"/>
  <c r="DQ66" i="8"/>
  <c r="DQ67" i="8"/>
  <c r="DQ68" i="8"/>
  <c r="DQ69" i="8"/>
  <c r="DQ70" i="8"/>
  <c r="DQ71" i="8"/>
  <c r="DV16" i="8"/>
  <c r="DV20" i="8"/>
  <c r="DV36" i="8"/>
  <c r="DV52" i="8"/>
  <c r="DV56" i="8"/>
  <c r="DV68" i="8"/>
  <c r="DO14" i="8"/>
  <c r="DP14" i="8" s="1"/>
  <c r="DO34" i="8"/>
  <c r="DP34" i="8" s="1"/>
  <c r="DO35" i="8"/>
  <c r="DP35" i="8" s="1"/>
  <c r="DO36" i="8"/>
  <c r="DP36" i="8" s="1"/>
  <c r="DO37" i="8"/>
  <c r="DP37" i="8" s="1"/>
  <c r="DO38" i="8"/>
  <c r="DP38" i="8" s="1"/>
  <c r="DO39" i="8"/>
  <c r="DP39" i="8" s="1"/>
  <c r="DO40" i="8"/>
  <c r="DP40" i="8" s="1"/>
  <c r="DO41" i="8"/>
  <c r="DP41" i="8" s="1"/>
  <c r="DO42" i="8"/>
  <c r="DP42" i="8" s="1"/>
  <c r="DO43" i="8"/>
  <c r="DP43" i="8" s="1"/>
  <c r="DO44" i="8"/>
  <c r="DP44" i="8" s="1"/>
  <c r="DO45" i="8"/>
  <c r="DP45" i="8" s="1"/>
  <c r="DO46" i="8"/>
  <c r="DP46" i="8" s="1"/>
  <c r="DO47" i="8"/>
  <c r="DP47" i="8" s="1"/>
  <c r="DO48" i="8"/>
  <c r="DP48" i="8" s="1"/>
  <c r="DO49" i="8"/>
  <c r="DP49" i="8" s="1"/>
  <c r="DO50" i="8"/>
  <c r="DP50" i="8" s="1"/>
  <c r="DO51" i="8"/>
  <c r="DP51" i="8" s="1"/>
  <c r="DO52" i="8"/>
  <c r="DP52" i="8" s="1"/>
  <c r="DO53" i="8"/>
  <c r="DP53" i="8" s="1"/>
  <c r="DO54" i="8"/>
  <c r="DP54" i="8" s="1"/>
  <c r="DO55" i="8"/>
  <c r="DP55" i="8" s="1"/>
  <c r="DO56" i="8"/>
  <c r="DP56" i="8" s="1"/>
  <c r="DO57" i="8"/>
  <c r="DP57" i="8" s="1"/>
  <c r="DO58" i="8"/>
  <c r="DP58" i="8" s="1"/>
  <c r="DO59" i="8"/>
  <c r="DP59" i="8" s="1"/>
  <c r="DO60" i="8"/>
  <c r="DP60" i="8" s="1"/>
  <c r="DO61" i="8"/>
  <c r="DP61" i="8" s="1"/>
  <c r="DO62" i="8"/>
  <c r="DP62" i="8" s="1"/>
  <c r="DO63" i="8"/>
  <c r="DP63" i="8" s="1"/>
  <c r="DO64" i="8"/>
  <c r="DP64" i="8" s="1"/>
  <c r="DO65" i="8"/>
  <c r="DP65" i="8" s="1"/>
  <c r="DO66" i="8"/>
  <c r="DP66" i="8" s="1"/>
  <c r="DO67" i="8"/>
  <c r="DP67" i="8" s="1"/>
  <c r="DO68" i="8"/>
  <c r="DP68" i="8" s="1"/>
  <c r="DO69" i="8"/>
  <c r="DP69" i="8" s="1"/>
  <c r="DO70" i="8"/>
  <c r="DP70" i="8" s="1"/>
  <c r="DO71" i="8"/>
  <c r="DP71" i="8" s="1"/>
  <c r="DM34" i="8"/>
  <c r="DN34" i="8" s="1"/>
  <c r="DM35" i="8"/>
  <c r="DN35" i="8" s="1"/>
  <c r="DM36" i="8"/>
  <c r="DM37" i="8"/>
  <c r="DN37" i="8" s="1"/>
  <c r="DM38" i="8"/>
  <c r="DN38" i="8" s="1"/>
  <c r="DM39" i="8"/>
  <c r="DN39" i="8" s="1"/>
  <c r="DM40" i="8"/>
  <c r="DN40" i="8" s="1"/>
  <c r="DM41" i="8"/>
  <c r="DN41" i="8" s="1"/>
  <c r="DM42" i="8"/>
  <c r="DN42" i="8" s="1"/>
  <c r="DM43" i="8"/>
  <c r="DN43" i="8" s="1"/>
  <c r="DM44" i="8"/>
  <c r="DN44" i="8" s="1"/>
  <c r="DM45" i="8"/>
  <c r="DN45" i="8" s="1"/>
  <c r="DM46" i="8"/>
  <c r="DN46" i="8" s="1"/>
  <c r="DM47" i="8"/>
  <c r="DN47" i="8" s="1"/>
  <c r="DM48" i="8"/>
  <c r="DN48" i="8" s="1"/>
  <c r="DM49" i="8"/>
  <c r="DN49" i="8" s="1"/>
  <c r="DM50" i="8"/>
  <c r="DN50" i="8" s="1"/>
  <c r="DM51" i="8"/>
  <c r="DN51" i="8" s="1"/>
  <c r="DM52" i="8"/>
  <c r="DN52" i="8" s="1"/>
  <c r="DM53" i="8"/>
  <c r="DN53" i="8" s="1"/>
  <c r="DM54" i="8"/>
  <c r="DN54" i="8" s="1"/>
  <c r="DM55" i="8"/>
  <c r="DN55" i="8" s="1"/>
  <c r="DM56" i="8"/>
  <c r="DN56" i="8" s="1"/>
  <c r="DM57" i="8"/>
  <c r="DN57" i="8" s="1"/>
  <c r="DM58" i="8"/>
  <c r="DN58" i="8" s="1"/>
  <c r="DM59" i="8"/>
  <c r="DN59" i="8" s="1"/>
  <c r="DM60" i="8"/>
  <c r="DN60" i="8" s="1"/>
  <c r="DM61" i="8"/>
  <c r="DN61" i="8" s="1"/>
  <c r="DM62" i="8"/>
  <c r="DN62" i="8" s="1"/>
  <c r="DM63" i="8"/>
  <c r="DN63" i="8" s="1"/>
  <c r="DM64" i="8"/>
  <c r="DN64" i="8" s="1"/>
  <c r="DM65" i="8"/>
  <c r="DN65" i="8" s="1"/>
  <c r="DM66" i="8"/>
  <c r="DN66" i="8" s="1"/>
  <c r="DM67" i="8"/>
  <c r="DN67" i="8" s="1"/>
  <c r="DM68" i="8"/>
  <c r="DN68" i="8" s="1"/>
  <c r="DM69" i="8"/>
  <c r="DN69" i="8" s="1"/>
  <c r="DM70" i="8"/>
  <c r="DN70" i="8" s="1"/>
  <c r="DM71" i="8"/>
  <c r="DN71" i="8" s="1"/>
  <c r="CM12" i="8"/>
  <c r="CM13" i="8"/>
  <c r="CM14" i="8"/>
  <c r="CM15" i="8"/>
  <c r="CM16" i="8"/>
  <c r="CM17" i="8"/>
  <c r="CM18" i="8"/>
  <c r="CM19" i="8"/>
  <c r="CM20" i="8"/>
  <c r="CM21" i="8"/>
  <c r="CM22" i="8"/>
  <c r="CM23" i="8"/>
  <c r="CM24" i="8"/>
  <c r="CM25" i="8"/>
  <c r="CM26" i="8"/>
  <c r="CM27" i="8"/>
  <c r="CM28" i="8"/>
  <c r="CM29" i="8"/>
  <c r="CM30" i="8"/>
  <c r="CM31" i="8"/>
  <c r="CM32" i="8"/>
  <c r="CM33" i="8"/>
  <c r="CM34" i="8"/>
  <c r="CM35" i="8"/>
  <c r="CM36" i="8"/>
  <c r="CM37" i="8"/>
  <c r="CR26" i="8" s="1"/>
  <c r="CM38" i="8"/>
  <c r="CM39" i="8"/>
  <c r="CM40" i="8"/>
  <c r="CM41" i="8"/>
  <c r="CM42" i="8"/>
  <c r="CM43" i="8"/>
  <c r="CM44" i="8"/>
  <c r="CM45" i="8"/>
  <c r="CM46" i="8"/>
  <c r="CM47" i="8"/>
  <c r="CM48" i="8"/>
  <c r="CM49" i="8"/>
  <c r="CM50" i="8"/>
  <c r="CM51" i="8"/>
  <c r="CM52" i="8"/>
  <c r="CM53" i="8"/>
  <c r="CM54" i="8"/>
  <c r="CM55" i="8"/>
  <c r="CM56" i="8"/>
  <c r="CM57" i="8"/>
  <c r="CM58" i="8"/>
  <c r="CM59" i="8"/>
  <c r="CM60" i="8"/>
  <c r="CM61" i="8"/>
  <c r="CM62" i="8"/>
  <c r="CM63" i="8"/>
  <c r="CM64" i="8"/>
  <c r="CM65" i="8"/>
  <c r="CM66" i="8"/>
  <c r="CM67" i="8"/>
  <c r="CM68" i="8"/>
  <c r="CM69" i="8"/>
  <c r="CM70" i="8"/>
  <c r="CM71" i="8"/>
  <c r="CR42" i="8"/>
  <c r="CR50" i="8"/>
  <c r="CR58" i="8"/>
  <c r="CK12" i="8"/>
  <c r="CL12" i="8" s="1"/>
  <c r="CK13" i="8"/>
  <c r="CL13" i="8" s="1"/>
  <c r="CK14" i="8"/>
  <c r="CL14" i="8" s="1"/>
  <c r="CK15" i="8"/>
  <c r="CL15" i="8" s="1"/>
  <c r="CK16" i="8"/>
  <c r="CL16" i="8" s="1"/>
  <c r="CK17" i="8"/>
  <c r="CL17" i="8" s="1"/>
  <c r="CK18" i="8"/>
  <c r="CL18" i="8" s="1"/>
  <c r="CK19" i="8"/>
  <c r="CL19" i="8" s="1"/>
  <c r="CK20" i="8"/>
  <c r="CL20" i="8" s="1"/>
  <c r="CK21" i="8"/>
  <c r="CL21" i="8" s="1"/>
  <c r="CK22" i="8"/>
  <c r="CL22" i="8" s="1"/>
  <c r="CK23" i="8"/>
  <c r="CL23" i="8" s="1"/>
  <c r="CK24" i="8"/>
  <c r="CL24" i="8" s="1"/>
  <c r="CK25" i="8"/>
  <c r="CL25" i="8" s="1"/>
  <c r="CK26" i="8"/>
  <c r="CL26" i="8" s="1"/>
  <c r="CK27" i="8"/>
  <c r="CL27" i="8" s="1"/>
  <c r="CK28" i="8"/>
  <c r="CL28" i="8" s="1"/>
  <c r="CK29" i="8"/>
  <c r="CL29" i="8" s="1"/>
  <c r="CK30" i="8"/>
  <c r="CL30" i="8" s="1"/>
  <c r="CK31" i="8"/>
  <c r="CL31" i="8" s="1"/>
  <c r="CK32" i="8"/>
  <c r="CL32" i="8" s="1"/>
  <c r="CK33" i="8"/>
  <c r="CL33" i="8" s="1"/>
  <c r="CK34" i="8"/>
  <c r="CL34" i="8" s="1"/>
  <c r="CK35" i="8"/>
  <c r="CL35" i="8" s="1"/>
  <c r="CK36" i="8"/>
  <c r="CL36" i="8" s="1"/>
  <c r="CK37" i="8"/>
  <c r="CL37" i="8" s="1"/>
  <c r="CK38" i="8"/>
  <c r="CL38" i="8" s="1"/>
  <c r="CK39" i="8"/>
  <c r="CL39" i="8" s="1"/>
  <c r="CK40" i="8"/>
  <c r="CL40" i="8" s="1"/>
  <c r="CK41" i="8"/>
  <c r="CL41" i="8" s="1"/>
  <c r="CK42" i="8"/>
  <c r="CL42" i="8" s="1"/>
  <c r="CK43" i="8"/>
  <c r="CL43" i="8" s="1"/>
  <c r="CK44" i="8"/>
  <c r="CL44" i="8" s="1"/>
  <c r="CK45" i="8"/>
  <c r="CL45" i="8" s="1"/>
  <c r="CK46" i="8"/>
  <c r="CL46" i="8" s="1"/>
  <c r="CK47" i="8"/>
  <c r="CL47" i="8" s="1"/>
  <c r="CK48" i="8"/>
  <c r="CL48" i="8" s="1"/>
  <c r="CK49" i="8"/>
  <c r="CL49" i="8" s="1"/>
  <c r="CK50" i="8"/>
  <c r="CL50" i="8" s="1"/>
  <c r="CK51" i="8"/>
  <c r="CL51" i="8" s="1"/>
  <c r="CK52" i="8"/>
  <c r="CL52" i="8" s="1"/>
  <c r="CK53" i="8"/>
  <c r="CL53" i="8" s="1"/>
  <c r="CK54" i="8"/>
  <c r="CL54" i="8" s="1"/>
  <c r="CK55" i="8"/>
  <c r="CL55" i="8" s="1"/>
  <c r="CK56" i="8"/>
  <c r="CL56" i="8" s="1"/>
  <c r="CK57" i="8"/>
  <c r="CL57" i="8" s="1"/>
  <c r="CK58" i="8"/>
  <c r="CL58" i="8" s="1"/>
  <c r="CK59" i="8"/>
  <c r="CL59" i="8" s="1"/>
  <c r="CK60" i="8"/>
  <c r="CL60" i="8" s="1"/>
  <c r="CK61" i="8"/>
  <c r="CL61" i="8" s="1"/>
  <c r="CK62" i="8"/>
  <c r="CL62" i="8" s="1"/>
  <c r="CK63" i="8"/>
  <c r="CL63" i="8" s="1"/>
  <c r="CK64" i="8"/>
  <c r="CL64" i="8" s="1"/>
  <c r="CK65" i="8"/>
  <c r="CL65" i="8" s="1"/>
  <c r="CK66" i="8"/>
  <c r="CL66" i="8" s="1"/>
  <c r="CK67" i="8"/>
  <c r="CL67" i="8" s="1"/>
  <c r="CK68" i="8"/>
  <c r="CL68" i="8" s="1"/>
  <c r="CK69" i="8"/>
  <c r="CL69" i="8" s="1"/>
  <c r="CK70" i="8"/>
  <c r="CL70" i="8" s="1"/>
  <c r="CK71" i="8"/>
  <c r="CL71" i="8" s="1"/>
  <c r="CI12" i="8"/>
  <c r="CJ12" i="8" s="1"/>
  <c r="CI13" i="8"/>
  <c r="CJ13" i="8" s="1"/>
  <c r="CI14" i="8"/>
  <c r="CJ14" i="8" s="1"/>
  <c r="CI15" i="8"/>
  <c r="CJ15" i="8" s="1"/>
  <c r="CI16" i="8"/>
  <c r="CJ16" i="8" s="1"/>
  <c r="CI17" i="8"/>
  <c r="CJ17" i="8" s="1"/>
  <c r="CI18" i="8"/>
  <c r="CJ18" i="8" s="1"/>
  <c r="CI19" i="8"/>
  <c r="CJ19" i="8" s="1"/>
  <c r="CI20" i="8"/>
  <c r="CJ20" i="8" s="1"/>
  <c r="CI21" i="8"/>
  <c r="CJ21" i="8" s="1"/>
  <c r="CI22" i="8"/>
  <c r="CJ22" i="8" s="1"/>
  <c r="CI23" i="8"/>
  <c r="CJ23" i="8" s="1"/>
  <c r="CI24" i="8"/>
  <c r="CJ24" i="8" s="1"/>
  <c r="CI25" i="8"/>
  <c r="CJ25" i="8" s="1"/>
  <c r="CI26" i="8"/>
  <c r="CJ26" i="8" s="1"/>
  <c r="CI27" i="8"/>
  <c r="CJ27" i="8" s="1"/>
  <c r="CI28" i="8"/>
  <c r="CJ28" i="8" s="1"/>
  <c r="CI29" i="8"/>
  <c r="CJ29" i="8" s="1"/>
  <c r="CI30" i="8"/>
  <c r="CJ30" i="8" s="1"/>
  <c r="CI31" i="8"/>
  <c r="CJ31" i="8" s="1"/>
  <c r="CI32" i="8"/>
  <c r="CJ32" i="8" s="1"/>
  <c r="CI33" i="8"/>
  <c r="CJ33" i="8" s="1"/>
  <c r="CI34" i="8"/>
  <c r="CJ34" i="8" s="1"/>
  <c r="CI35" i="8"/>
  <c r="CJ35" i="8" s="1"/>
  <c r="CI36" i="8"/>
  <c r="CJ36" i="8" s="1"/>
  <c r="CI37" i="8"/>
  <c r="CJ37" i="8" s="1"/>
  <c r="CI38" i="8"/>
  <c r="CJ38" i="8" s="1"/>
  <c r="CI39" i="8"/>
  <c r="CJ39" i="8" s="1"/>
  <c r="CI40" i="8"/>
  <c r="CJ40" i="8" s="1"/>
  <c r="CI41" i="8"/>
  <c r="CJ41" i="8" s="1"/>
  <c r="CI42" i="8"/>
  <c r="CJ42" i="8" s="1"/>
  <c r="CI43" i="8"/>
  <c r="CJ43" i="8" s="1"/>
  <c r="CI44" i="8"/>
  <c r="CJ44" i="8" s="1"/>
  <c r="CI45" i="8"/>
  <c r="CJ45" i="8" s="1"/>
  <c r="CI46" i="8"/>
  <c r="CJ46" i="8" s="1"/>
  <c r="CI47" i="8"/>
  <c r="CJ47" i="8" s="1"/>
  <c r="CI48" i="8"/>
  <c r="CJ48" i="8" s="1"/>
  <c r="CI49" i="8"/>
  <c r="CJ49" i="8" s="1"/>
  <c r="CI50" i="8"/>
  <c r="CJ50" i="8" s="1"/>
  <c r="CI51" i="8"/>
  <c r="CJ51" i="8" s="1"/>
  <c r="CI52" i="8"/>
  <c r="CJ52" i="8" s="1"/>
  <c r="CI53" i="8"/>
  <c r="CJ53" i="8" s="1"/>
  <c r="CI54" i="8"/>
  <c r="CJ54" i="8" s="1"/>
  <c r="CI55" i="8"/>
  <c r="CJ55" i="8" s="1"/>
  <c r="CI56" i="8"/>
  <c r="CJ56" i="8" s="1"/>
  <c r="CI57" i="8"/>
  <c r="CJ57" i="8" s="1"/>
  <c r="CI58" i="8"/>
  <c r="CJ58" i="8" s="1"/>
  <c r="CI59" i="8"/>
  <c r="CJ59" i="8" s="1"/>
  <c r="CI60" i="8"/>
  <c r="CJ60" i="8" s="1"/>
  <c r="CI61" i="8"/>
  <c r="CJ61" i="8" s="1"/>
  <c r="CI62" i="8"/>
  <c r="CJ62" i="8" s="1"/>
  <c r="CI63" i="8"/>
  <c r="CJ63" i="8" s="1"/>
  <c r="CI64" i="8"/>
  <c r="CJ64" i="8" s="1"/>
  <c r="CI65" i="8"/>
  <c r="CJ65" i="8" s="1"/>
  <c r="CI66" i="8"/>
  <c r="CJ66" i="8" s="1"/>
  <c r="CI67" i="8"/>
  <c r="CJ67" i="8" s="1"/>
  <c r="CI68" i="8"/>
  <c r="CJ68" i="8" s="1"/>
  <c r="CI69" i="8"/>
  <c r="CJ69" i="8" s="1"/>
  <c r="CI70" i="8"/>
  <c r="CJ70" i="8" s="1"/>
  <c r="CI71" i="8"/>
  <c r="CJ71" i="8" s="1"/>
  <c r="CG12" i="8"/>
  <c r="CH12" i="8" s="1"/>
  <c r="CG13" i="8"/>
  <c r="CH13" i="8" s="1"/>
  <c r="CG14" i="8"/>
  <c r="CH14" i="8" s="1"/>
  <c r="CG15" i="8"/>
  <c r="CH15" i="8" s="1"/>
  <c r="CG16" i="8"/>
  <c r="CH16" i="8" s="1"/>
  <c r="CG17" i="8"/>
  <c r="CH17" i="8" s="1"/>
  <c r="CG18" i="8"/>
  <c r="CH18" i="8" s="1"/>
  <c r="CG19" i="8"/>
  <c r="CH19" i="8" s="1"/>
  <c r="CG20" i="8"/>
  <c r="CH20" i="8" s="1"/>
  <c r="CG21" i="8"/>
  <c r="CH21" i="8" s="1"/>
  <c r="CG22" i="8"/>
  <c r="CH22" i="8" s="1"/>
  <c r="CG23" i="8"/>
  <c r="CH23" i="8" s="1"/>
  <c r="CG24" i="8"/>
  <c r="CH24" i="8" s="1"/>
  <c r="CG25" i="8"/>
  <c r="CH25" i="8" s="1"/>
  <c r="CG26" i="8"/>
  <c r="CH26" i="8" s="1"/>
  <c r="CG27" i="8"/>
  <c r="CH27" i="8" s="1"/>
  <c r="CG28" i="8"/>
  <c r="CH28" i="8" s="1"/>
  <c r="CG29" i="8"/>
  <c r="CH29" i="8" s="1"/>
  <c r="CG30" i="8"/>
  <c r="CH30" i="8" s="1"/>
  <c r="CG31" i="8"/>
  <c r="CH31" i="8" s="1"/>
  <c r="CG32" i="8"/>
  <c r="CH32" i="8" s="1"/>
  <c r="CG33" i="8"/>
  <c r="CH33" i="8" s="1"/>
  <c r="CG34" i="8"/>
  <c r="CH34" i="8" s="1"/>
  <c r="CG35" i="8"/>
  <c r="CH35" i="8" s="1"/>
  <c r="CG36" i="8"/>
  <c r="CH36" i="8" s="1"/>
  <c r="CG37" i="8"/>
  <c r="CH37" i="8" s="1"/>
  <c r="CG38" i="8"/>
  <c r="CH38" i="8" s="1"/>
  <c r="CG39" i="8"/>
  <c r="CH39" i="8" s="1"/>
  <c r="CG40" i="8"/>
  <c r="CH40" i="8" s="1"/>
  <c r="CG41" i="8"/>
  <c r="CH41" i="8" s="1"/>
  <c r="CG42" i="8"/>
  <c r="CH42" i="8" s="1"/>
  <c r="CG43" i="8"/>
  <c r="CH43" i="8" s="1"/>
  <c r="CG44" i="8"/>
  <c r="CH44" i="8" s="1"/>
  <c r="CG45" i="8"/>
  <c r="CH45" i="8" s="1"/>
  <c r="CG46" i="8"/>
  <c r="CH46" i="8" s="1"/>
  <c r="CG47" i="8"/>
  <c r="CH47" i="8" s="1"/>
  <c r="CG48" i="8"/>
  <c r="CH48" i="8" s="1"/>
  <c r="CG49" i="8"/>
  <c r="CH49" i="8" s="1"/>
  <c r="CG50" i="8"/>
  <c r="CH50" i="8" s="1"/>
  <c r="CG51" i="8"/>
  <c r="CH51" i="8" s="1"/>
  <c r="CG52" i="8"/>
  <c r="CH52" i="8" s="1"/>
  <c r="CG53" i="8"/>
  <c r="CH53" i="8" s="1"/>
  <c r="CG54" i="8"/>
  <c r="CH54" i="8" s="1"/>
  <c r="CG55" i="8"/>
  <c r="CH55" i="8" s="1"/>
  <c r="CG56" i="8"/>
  <c r="CH56" i="8" s="1"/>
  <c r="CG57" i="8"/>
  <c r="CH57" i="8" s="1"/>
  <c r="CG58" i="8"/>
  <c r="CH58" i="8" s="1"/>
  <c r="CG59" i="8"/>
  <c r="CH59" i="8" s="1"/>
  <c r="CG60" i="8"/>
  <c r="CH60" i="8" s="1"/>
  <c r="CG61" i="8"/>
  <c r="CH61" i="8" s="1"/>
  <c r="CG62" i="8"/>
  <c r="CH62" i="8" s="1"/>
  <c r="CG63" i="8"/>
  <c r="CH63" i="8" s="1"/>
  <c r="CG64" i="8"/>
  <c r="CH64" i="8" s="1"/>
  <c r="CG65" i="8"/>
  <c r="CH65" i="8" s="1"/>
  <c r="CG66" i="8"/>
  <c r="CH66" i="8" s="1"/>
  <c r="CG67" i="8"/>
  <c r="CH67" i="8" s="1"/>
  <c r="CG68" i="8"/>
  <c r="CH68" i="8" s="1"/>
  <c r="CG69" i="8"/>
  <c r="CH69" i="8" s="1"/>
  <c r="CG70" i="8"/>
  <c r="CH70" i="8" s="1"/>
  <c r="CG71" i="8"/>
  <c r="CH71" i="8" s="1"/>
  <c r="CE12" i="8"/>
  <c r="CF12" i="8" s="1"/>
  <c r="CE13" i="8"/>
  <c r="CF13" i="8" s="1"/>
  <c r="CE14" i="8"/>
  <c r="CF14" i="8" s="1"/>
  <c r="CE15" i="8"/>
  <c r="CF15" i="8" s="1"/>
  <c r="CE16" i="8"/>
  <c r="CF16" i="8" s="1"/>
  <c r="CE17" i="8"/>
  <c r="CF17" i="8" s="1"/>
  <c r="CE18" i="8"/>
  <c r="CF18" i="8" s="1"/>
  <c r="CE19" i="8"/>
  <c r="CF19" i="8" s="1"/>
  <c r="CE20" i="8"/>
  <c r="CF20" i="8" s="1"/>
  <c r="CE21" i="8"/>
  <c r="CF21" i="8" s="1"/>
  <c r="CE22" i="8"/>
  <c r="CF22" i="8" s="1"/>
  <c r="CE23" i="8"/>
  <c r="CF23" i="8" s="1"/>
  <c r="CE24" i="8"/>
  <c r="CF24" i="8" s="1"/>
  <c r="CE25" i="8"/>
  <c r="CF25" i="8" s="1"/>
  <c r="CE26" i="8"/>
  <c r="CF26" i="8" s="1"/>
  <c r="CE27" i="8"/>
  <c r="CF27" i="8" s="1"/>
  <c r="CE28" i="8"/>
  <c r="CF28" i="8" s="1"/>
  <c r="CE29" i="8"/>
  <c r="CF29" i="8" s="1"/>
  <c r="CE30" i="8"/>
  <c r="CF30" i="8" s="1"/>
  <c r="CE31" i="8"/>
  <c r="CF31" i="8" s="1"/>
  <c r="CE32" i="8"/>
  <c r="CF32" i="8" s="1"/>
  <c r="CE33" i="8"/>
  <c r="CF33" i="8" s="1"/>
  <c r="CE34" i="8"/>
  <c r="CF34" i="8" s="1"/>
  <c r="CE35" i="8"/>
  <c r="CF35" i="8" s="1"/>
  <c r="CE36" i="8"/>
  <c r="CF36" i="8" s="1"/>
  <c r="CE37" i="8"/>
  <c r="CF37" i="8" s="1"/>
  <c r="CE38" i="8"/>
  <c r="CF38" i="8" s="1"/>
  <c r="CE39" i="8"/>
  <c r="CF39" i="8" s="1"/>
  <c r="CE40" i="8"/>
  <c r="CF40" i="8" s="1"/>
  <c r="CE41" i="8"/>
  <c r="CF41" i="8" s="1"/>
  <c r="CE42" i="8"/>
  <c r="CF42" i="8" s="1"/>
  <c r="CE43" i="8"/>
  <c r="CF43" i="8" s="1"/>
  <c r="CE44" i="8"/>
  <c r="CF44" i="8" s="1"/>
  <c r="CE45" i="8"/>
  <c r="CF45" i="8" s="1"/>
  <c r="CE46" i="8"/>
  <c r="CF46" i="8" s="1"/>
  <c r="CE47" i="8"/>
  <c r="CF47" i="8" s="1"/>
  <c r="CE48" i="8"/>
  <c r="CF48" i="8" s="1"/>
  <c r="CE49" i="8"/>
  <c r="CF49" i="8" s="1"/>
  <c r="CE50" i="8"/>
  <c r="CF50" i="8" s="1"/>
  <c r="CE51" i="8"/>
  <c r="CF51" i="8" s="1"/>
  <c r="CE52" i="8"/>
  <c r="CF52" i="8" s="1"/>
  <c r="CE53" i="8"/>
  <c r="CF53" i="8" s="1"/>
  <c r="CE54" i="8"/>
  <c r="CF54" i="8" s="1"/>
  <c r="CE55" i="8"/>
  <c r="CF55" i="8" s="1"/>
  <c r="CE56" i="8"/>
  <c r="CF56" i="8" s="1"/>
  <c r="CE57" i="8"/>
  <c r="CF57" i="8" s="1"/>
  <c r="CE58" i="8"/>
  <c r="CF58" i="8" s="1"/>
  <c r="CE59" i="8"/>
  <c r="CF59" i="8" s="1"/>
  <c r="CE60" i="8"/>
  <c r="CF60" i="8" s="1"/>
  <c r="CE61" i="8"/>
  <c r="CF61" i="8" s="1"/>
  <c r="CE62" i="8"/>
  <c r="CF62" i="8" s="1"/>
  <c r="CE63" i="8"/>
  <c r="CF63" i="8" s="1"/>
  <c r="CE64" i="8"/>
  <c r="CF64" i="8" s="1"/>
  <c r="CE65" i="8"/>
  <c r="CF65" i="8" s="1"/>
  <c r="CE66" i="8"/>
  <c r="CF66" i="8" s="1"/>
  <c r="CE67" i="8"/>
  <c r="CF67" i="8" s="1"/>
  <c r="CE68" i="8"/>
  <c r="CF68" i="8" s="1"/>
  <c r="CE69" i="8"/>
  <c r="CF69" i="8" s="1"/>
  <c r="CE70" i="8"/>
  <c r="CF70" i="8" s="1"/>
  <c r="CE71" i="8"/>
  <c r="CF71" i="8" s="1"/>
  <c r="CC12" i="8"/>
  <c r="CD12" i="8" s="1"/>
  <c r="CC13" i="8"/>
  <c r="CD13" i="8" s="1"/>
  <c r="CC14" i="8"/>
  <c r="CD14" i="8" s="1"/>
  <c r="CC15" i="8"/>
  <c r="CD15" i="8" s="1"/>
  <c r="CC16" i="8"/>
  <c r="CD16" i="8" s="1"/>
  <c r="CC17" i="8"/>
  <c r="CD17" i="8" s="1"/>
  <c r="CC18" i="8"/>
  <c r="CD18" i="8" s="1"/>
  <c r="CC19" i="8"/>
  <c r="CD19" i="8" s="1"/>
  <c r="CC20" i="8"/>
  <c r="CD20" i="8" s="1"/>
  <c r="CC21" i="8"/>
  <c r="CD21" i="8" s="1"/>
  <c r="CC22" i="8"/>
  <c r="CD22" i="8" s="1"/>
  <c r="CC23" i="8"/>
  <c r="CD23" i="8" s="1"/>
  <c r="CC24" i="8"/>
  <c r="CD24" i="8" s="1"/>
  <c r="CC25" i="8"/>
  <c r="CD25" i="8" s="1"/>
  <c r="CC26" i="8"/>
  <c r="CD26" i="8" s="1"/>
  <c r="CC27" i="8"/>
  <c r="CD27" i="8" s="1"/>
  <c r="CC28" i="8"/>
  <c r="CD28" i="8" s="1"/>
  <c r="CC29" i="8"/>
  <c r="CD29" i="8" s="1"/>
  <c r="CC30" i="8"/>
  <c r="CD30" i="8" s="1"/>
  <c r="CC31" i="8"/>
  <c r="CD31" i="8" s="1"/>
  <c r="CC32" i="8"/>
  <c r="CD32" i="8" s="1"/>
  <c r="CC33" i="8"/>
  <c r="CD33" i="8" s="1"/>
  <c r="CC34" i="8"/>
  <c r="CD34" i="8" s="1"/>
  <c r="CC35" i="8"/>
  <c r="CD35" i="8" s="1"/>
  <c r="CC36" i="8"/>
  <c r="CD36" i="8" s="1"/>
  <c r="CC37" i="8"/>
  <c r="CD37" i="8" s="1"/>
  <c r="CC38" i="8"/>
  <c r="CD38" i="8" s="1"/>
  <c r="CC39" i="8"/>
  <c r="CD39" i="8" s="1"/>
  <c r="CC40" i="8"/>
  <c r="CD40" i="8" s="1"/>
  <c r="CC41" i="8"/>
  <c r="CD41" i="8" s="1"/>
  <c r="CC42" i="8"/>
  <c r="CD42" i="8" s="1"/>
  <c r="CC43" i="8"/>
  <c r="CD43" i="8" s="1"/>
  <c r="CC44" i="8"/>
  <c r="CD44" i="8" s="1"/>
  <c r="CC45" i="8"/>
  <c r="CD45" i="8" s="1"/>
  <c r="CC46" i="8"/>
  <c r="CD46" i="8" s="1"/>
  <c r="CC47" i="8"/>
  <c r="CD47" i="8" s="1"/>
  <c r="CC48" i="8"/>
  <c r="CD48" i="8" s="1"/>
  <c r="CC49" i="8"/>
  <c r="CD49" i="8" s="1"/>
  <c r="CC50" i="8"/>
  <c r="CD50" i="8" s="1"/>
  <c r="CC51" i="8"/>
  <c r="CD51" i="8" s="1"/>
  <c r="CC52" i="8"/>
  <c r="CD52" i="8" s="1"/>
  <c r="CC53" i="8"/>
  <c r="CD53" i="8" s="1"/>
  <c r="CC54" i="8"/>
  <c r="CD54" i="8" s="1"/>
  <c r="CC55" i="8"/>
  <c r="CD55" i="8" s="1"/>
  <c r="CC56" i="8"/>
  <c r="CD56" i="8" s="1"/>
  <c r="CC57" i="8"/>
  <c r="CD57" i="8" s="1"/>
  <c r="CC58" i="8"/>
  <c r="CD58" i="8" s="1"/>
  <c r="CC59" i="8"/>
  <c r="CD59" i="8" s="1"/>
  <c r="CC60" i="8"/>
  <c r="CD60" i="8" s="1"/>
  <c r="CC61" i="8"/>
  <c r="CD61" i="8" s="1"/>
  <c r="CC62" i="8"/>
  <c r="CD62" i="8" s="1"/>
  <c r="CC63" i="8"/>
  <c r="CD63" i="8" s="1"/>
  <c r="CC64" i="8"/>
  <c r="CD64" i="8" s="1"/>
  <c r="CC65" i="8"/>
  <c r="CD65" i="8" s="1"/>
  <c r="CC66" i="8"/>
  <c r="CD66" i="8" s="1"/>
  <c r="CC67" i="8"/>
  <c r="CD67" i="8" s="1"/>
  <c r="CC68" i="8"/>
  <c r="CD68" i="8" s="1"/>
  <c r="CC69" i="8"/>
  <c r="CD69" i="8" s="1"/>
  <c r="CC70" i="8"/>
  <c r="CD70" i="8" s="1"/>
  <c r="CC71" i="8"/>
  <c r="CD71" i="8" s="1"/>
  <c r="DZ12" i="8"/>
  <c r="EA74" i="8" s="1"/>
  <c r="DZ13" i="8"/>
  <c r="DZ14" i="8"/>
  <c r="DZ15" i="8"/>
  <c r="DZ16" i="8"/>
  <c r="DZ17" i="8"/>
  <c r="DZ18" i="8"/>
  <c r="DZ19" i="8"/>
  <c r="DZ20" i="8"/>
  <c r="DZ21" i="8"/>
  <c r="DZ22" i="8"/>
  <c r="DZ23" i="8"/>
  <c r="DZ24" i="8"/>
  <c r="DZ25" i="8"/>
  <c r="DZ26" i="8"/>
  <c r="DZ27" i="8"/>
  <c r="DZ28" i="8"/>
  <c r="DZ29" i="8"/>
  <c r="DZ30" i="8"/>
  <c r="DZ31" i="8"/>
  <c r="DZ32" i="8"/>
  <c r="DZ33" i="8"/>
  <c r="DZ34" i="8"/>
  <c r="DZ35" i="8"/>
  <c r="DZ36" i="8"/>
  <c r="DZ37" i="8"/>
  <c r="DZ38" i="8"/>
  <c r="DZ39" i="8"/>
  <c r="DZ40" i="8"/>
  <c r="DZ41" i="8"/>
  <c r="DZ42" i="8"/>
  <c r="DZ43" i="8"/>
  <c r="DZ44" i="8"/>
  <c r="DZ45" i="8"/>
  <c r="DZ46" i="8"/>
  <c r="DZ47" i="8"/>
  <c r="DZ48" i="8"/>
  <c r="DZ49" i="8"/>
  <c r="DZ50" i="8"/>
  <c r="DZ51" i="8"/>
  <c r="DZ52" i="8"/>
  <c r="DZ53" i="8"/>
  <c r="DZ54" i="8"/>
  <c r="DZ55" i="8"/>
  <c r="DZ56" i="8"/>
  <c r="DZ57" i="8"/>
  <c r="DZ58" i="8"/>
  <c r="DZ59" i="8"/>
  <c r="DZ60" i="8"/>
  <c r="DZ61" i="8"/>
  <c r="DZ62" i="8"/>
  <c r="DZ63" i="8"/>
  <c r="DZ64" i="8"/>
  <c r="DZ65" i="8"/>
  <c r="DZ66" i="8"/>
  <c r="DZ67" i="8"/>
  <c r="DZ68" i="8"/>
  <c r="DZ69" i="8"/>
  <c r="DZ70" i="8"/>
  <c r="DZ71" i="8"/>
  <c r="EA76" i="8"/>
  <c r="AG14" i="8"/>
  <c r="AA34" i="8"/>
  <c r="AC34" i="8"/>
  <c r="AE34" i="8"/>
  <c r="AG34" i="8"/>
  <c r="AA35" i="8"/>
  <c r="AC35" i="8"/>
  <c r="AE35" i="8"/>
  <c r="AG35" i="8"/>
  <c r="AA36" i="8"/>
  <c r="AC36" i="8"/>
  <c r="AE36" i="8"/>
  <c r="AG36" i="8"/>
  <c r="AA37" i="8"/>
  <c r="AC37" i="8"/>
  <c r="AE37" i="8"/>
  <c r="AG37" i="8"/>
  <c r="AA38" i="8"/>
  <c r="AC38" i="8"/>
  <c r="AE38" i="8"/>
  <c r="AG38" i="8"/>
  <c r="AA39" i="8"/>
  <c r="AC39" i="8"/>
  <c r="AE39" i="8"/>
  <c r="AG39" i="8"/>
  <c r="AA40" i="8"/>
  <c r="AC40" i="8"/>
  <c r="AE40" i="8"/>
  <c r="AG40" i="8"/>
  <c r="AA41" i="8"/>
  <c r="AC41" i="8"/>
  <c r="AE41" i="8"/>
  <c r="AG41" i="8"/>
  <c r="AA42" i="8"/>
  <c r="AC42" i="8"/>
  <c r="AE42" i="8"/>
  <c r="AG42" i="8"/>
  <c r="AA43" i="8"/>
  <c r="AC43" i="8"/>
  <c r="AE43" i="8"/>
  <c r="AG43" i="8"/>
  <c r="AA44" i="8"/>
  <c r="AC44" i="8"/>
  <c r="AE44" i="8"/>
  <c r="AG44" i="8"/>
  <c r="AA45" i="8"/>
  <c r="AC45" i="8"/>
  <c r="AE45" i="8"/>
  <c r="AG45" i="8"/>
  <c r="AA46" i="8"/>
  <c r="AC46" i="8"/>
  <c r="AE46" i="8"/>
  <c r="AG46" i="8"/>
  <c r="AA47" i="8"/>
  <c r="AC47" i="8"/>
  <c r="AE47" i="8"/>
  <c r="AG47" i="8"/>
  <c r="AA48" i="8"/>
  <c r="AC48" i="8"/>
  <c r="AE48" i="8"/>
  <c r="AG48" i="8"/>
  <c r="AA49" i="8"/>
  <c r="AC49" i="8"/>
  <c r="AE49" i="8"/>
  <c r="AG49" i="8"/>
  <c r="AA50" i="8"/>
  <c r="AC50" i="8"/>
  <c r="AE50" i="8"/>
  <c r="AG50" i="8"/>
  <c r="AA51" i="8"/>
  <c r="AC51" i="8"/>
  <c r="AE51" i="8"/>
  <c r="AG51" i="8"/>
  <c r="AA52" i="8"/>
  <c r="AC52" i="8"/>
  <c r="AE52" i="8"/>
  <c r="AG52" i="8"/>
  <c r="AA53" i="8"/>
  <c r="AC53" i="8"/>
  <c r="AE53" i="8"/>
  <c r="AG53" i="8"/>
  <c r="AA54" i="8"/>
  <c r="AC54" i="8"/>
  <c r="AE54" i="8"/>
  <c r="AG54" i="8"/>
  <c r="AA55" i="8"/>
  <c r="AC55" i="8"/>
  <c r="AE55" i="8"/>
  <c r="AG55" i="8"/>
  <c r="AA56" i="8"/>
  <c r="AC56" i="8"/>
  <c r="AE56" i="8"/>
  <c r="AG56" i="8"/>
  <c r="AA57" i="8"/>
  <c r="AC57" i="8"/>
  <c r="AE57" i="8"/>
  <c r="AG57" i="8"/>
  <c r="AA58" i="8"/>
  <c r="AC58" i="8"/>
  <c r="AE58" i="8"/>
  <c r="AG58" i="8"/>
  <c r="AA59" i="8"/>
  <c r="AC59" i="8"/>
  <c r="AE59" i="8"/>
  <c r="AG59" i="8"/>
  <c r="AA60" i="8"/>
  <c r="AC60" i="8"/>
  <c r="AE60" i="8"/>
  <c r="AG60" i="8"/>
  <c r="AA61" i="8"/>
  <c r="AC61" i="8"/>
  <c r="AE61" i="8"/>
  <c r="AG61" i="8"/>
  <c r="AA62" i="8"/>
  <c r="AC62" i="8"/>
  <c r="AE62" i="8"/>
  <c r="AG62" i="8"/>
  <c r="AA63" i="8"/>
  <c r="AC63" i="8"/>
  <c r="AE63" i="8"/>
  <c r="AG63" i="8"/>
  <c r="AA64" i="8"/>
  <c r="AC64" i="8"/>
  <c r="AE64" i="8"/>
  <c r="AG64" i="8"/>
  <c r="AA65" i="8"/>
  <c r="AC65" i="8"/>
  <c r="AE65" i="8"/>
  <c r="AG65" i="8"/>
  <c r="AA66" i="8"/>
  <c r="AC66" i="8"/>
  <c r="AE66" i="8"/>
  <c r="AG66" i="8"/>
  <c r="AA67" i="8"/>
  <c r="AC67" i="8"/>
  <c r="AE67" i="8"/>
  <c r="AG67" i="8"/>
  <c r="AA68" i="8"/>
  <c r="AC68" i="8"/>
  <c r="AE68" i="8"/>
  <c r="AG68" i="8"/>
  <c r="AA69" i="8"/>
  <c r="AC69" i="8"/>
  <c r="AE69" i="8"/>
  <c r="AG69" i="8"/>
  <c r="AA70" i="8"/>
  <c r="AC70" i="8"/>
  <c r="AE70" i="8"/>
  <c r="AG70" i="8"/>
  <c r="AA71" i="8"/>
  <c r="AC71" i="8"/>
  <c r="AE71" i="8"/>
  <c r="AG71" i="8"/>
  <c r="EN12" i="8"/>
  <c r="EN13" i="8"/>
  <c r="EN14" i="8"/>
  <c r="EN15" i="8"/>
  <c r="EN16" i="8"/>
  <c r="EN17" i="8"/>
  <c r="EN18" i="8"/>
  <c r="EN19" i="8"/>
  <c r="EN20" i="8"/>
  <c r="EN21" i="8"/>
  <c r="EN22" i="8"/>
  <c r="EN23" i="8"/>
  <c r="EN24" i="8"/>
  <c r="EN25" i="8"/>
  <c r="EN26" i="8"/>
  <c r="EN27" i="8"/>
  <c r="EN28" i="8"/>
  <c r="EN29" i="8"/>
  <c r="EN30" i="8"/>
  <c r="EN31" i="8"/>
  <c r="EN32" i="8"/>
  <c r="EN33" i="8"/>
  <c r="EN34" i="8"/>
  <c r="EN35" i="8"/>
  <c r="EN36" i="8"/>
  <c r="EN37" i="8"/>
  <c r="EN38" i="8"/>
  <c r="EN39" i="8"/>
  <c r="EN40" i="8"/>
  <c r="EN41" i="8"/>
  <c r="EN42" i="8"/>
  <c r="EN43" i="8"/>
  <c r="EN44" i="8"/>
  <c r="EN45" i="8"/>
  <c r="EN46" i="8"/>
  <c r="EN47" i="8"/>
  <c r="EN48" i="8"/>
  <c r="EN49" i="8"/>
  <c r="EN50" i="8"/>
  <c r="EN51" i="8"/>
  <c r="EN52" i="8"/>
  <c r="EN53" i="8"/>
  <c r="EN54" i="8"/>
  <c r="EN55" i="8"/>
  <c r="EN56" i="8"/>
  <c r="EN57" i="8"/>
  <c r="EN58" i="8"/>
  <c r="EN59" i="8"/>
  <c r="EN60" i="8"/>
  <c r="EN61" i="8"/>
  <c r="EN62" i="8"/>
  <c r="EN63" i="8"/>
  <c r="EN64" i="8"/>
  <c r="EN65" i="8"/>
  <c r="EN66" i="8"/>
  <c r="EN67" i="8"/>
  <c r="EN68" i="8"/>
  <c r="EN69" i="8"/>
  <c r="EN70" i="8"/>
  <c r="EN71" i="8"/>
  <c r="EI72" i="8"/>
  <c r="EJ12" i="8"/>
  <c r="EJ13" i="8"/>
  <c r="EJ14" i="8"/>
  <c r="EJ15" i="8"/>
  <c r="EJ16" i="8"/>
  <c r="EJ17" i="8"/>
  <c r="EJ18" i="8"/>
  <c r="EJ19" i="8"/>
  <c r="EJ20" i="8"/>
  <c r="EJ21" i="8"/>
  <c r="EJ22" i="8"/>
  <c r="EJ23" i="8"/>
  <c r="EJ24" i="8"/>
  <c r="EJ25" i="8"/>
  <c r="EJ26" i="8"/>
  <c r="EJ27" i="8"/>
  <c r="EJ28" i="8"/>
  <c r="EJ29" i="8"/>
  <c r="EJ30" i="8"/>
  <c r="EJ31" i="8"/>
  <c r="EJ32" i="8"/>
  <c r="EJ33" i="8"/>
  <c r="EJ34" i="8"/>
  <c r="EJ35" i="8"/>
  <c r="EJ36" i="8"/>
  <c r="EJ37" i="8"/>
  <c r="EJ38" i="8"/>
  <c r="EJ39" i="8"/>
  <c r="EJ40" i="8"/>
  <c r="EJ41" i="8"/>
  <c r="EJ42" i="8"/>
  <c r="EJ43" i="8"/>
  <c r="EJ44" i="8"/>
  <c r="EJ45" i="8"/>
  <c r="EJ46" i="8"/>
  <c r="EJ47" i="8"/>
  <c r="EJ48" i="8"/>
  <c r="EJ49" i="8"/>
  <c r="EJ50" i="8"/>
  <c r="EJ51" i="8"/>
  <c r="EJ52" i="8"/>
  <c r="EJ53" i="8"/>
  <c r="EJ54" i="8"/>
  <c r="EJ55" i="8"/>
  <c r="EJ56" i="8"/>
  <c r="EJ57" i="8"/>
  <c r="EJ58" i="8"/>
  <c r="EJ59" i="8"/>
  <c r="EJ60" i="8"/>
  <c r="EJ61" i="8"/>
  <c r="EJ62" i="8"/>
  <c r="EJ63" i="8"/>
  <c r="EJ64" i="8"/>
  <c r="EJ65" i="8"/>
  <c r="EJ66" i="8"/>
  <c r="EJ67" i="8"/>
  <c r="EJ68" i="8"/>
  <c r="EJ69" i="8"/>
  <c r="EJ70" i="8"/>
  <c r="EJ71" i="8"/>
  <c r="EK72" i="8"/>
  <c r="EL72" i="8"/>
  <c r="EE12" i="8"/>
  <c r="EE13" i="8"/>
  <c r="EE14" i="8"/>
  <c r="EE15" i="8"/>
  <c r="EE16" i="8"/>
  <c r="EE17" i="8"/>
  <c r="EE18" i="8"/>
  <c r="EE19" i="8"/>
  <c r="EE20" i="8"/>
  <c r="EE21" i="8"/>
  <c r="EE22" i="8"/>
  <c r="EE23" i="8"/>
  <c r="EE24" i="8"/>
  <c r="EE25" i="8"/>
  <c r="EE26" i="8"/>
  <c r="EE27" i="8"/>
  <c r="EE28" i="8"/>
  <c r="EE29" i="8"/>
  <c r="EE30" i="8"/>
  <c r="EE31" i="8"/>
  <c r="EE32" i="8"/>
  <c r="EE33" i="8"/>
  <c r="EE34" i="8"/>
  <c r="EE35" i="8"/>
  <c r="EE36" i="8"/>
  <c r="EE37" i="8"/>
  <c r="EE38" i="8"/>
  <c r="EE39" i="8"/>
  <c r="EE40" i="8"/>
  <c r="EE41" i="8"/>
  <c r="EE42" i="8"/>
  <c r="EE43" i="8"/>
  <c r="EE44" i="8"/>
  <c r="EE45" i="8"/>
  <c r="EE46" i="8"/>
  <c r="EE47" i="8"/>
  <c r="EE48" i="8"/>
  <c r="EE49" i="8"/>
  <c r="EE50" i="8"/>
  <c r="EE51" i="8"/>
  <c r="EE52" i="8"/>
  <c r="EE53" i="8"/>
  <c r="EE54" i="8"/>
  <c r="EE55" i="8"/>
  <c r="EE56" i="8"/>
  <c r="EE57" i="8"/>
  <c r="EE58" i="8"/>
  <c r="EE59" i="8"/>
  <c r="EE60" i="8"/>
  <c r="EE61" i="8"/>
  <c r="EE62" i="8"/>
  <c r="EE63" i="8"/>
  <c r="EE64" i="8"/>
  <c r="EE65" i="8"/>
  <c r="EE66" i="8"/>
  <c r="EE67" i="8"/>
  <c r="EE68" i="8"/>
  <c r="EE69" i="8"/>
  <c r="EE70" i="8"/>
  <c r="EE71" i="8"/>
  <c r="EF12" i="8"/>
  <c r="EF13" i="8"/>
  <c r="EF14" i="8"/>
  <c r="EF72" i="8" s="1"/>
  <c r="EF15" i="8"/>
  <c r="EF16" i="8"/>
  <c r="EF17" i="8"/>
  <c r="EF18" i="8"/>
  <c r="EF19" i="8"/>
  <c r="EF20" i="8"/>
  <c r="EF21" i="8"/>
  <c r="EF22" i="8"/>
  <c r="EF23" i="8"/>
  <c r="EF24" i="8"/>
  <c r="EF25" i="8"/>
  <c r="EF26" i="8"/>
  <c r="EF27" i="8"/>
  <c r="EF28" i="8"/>
  <c r="EF29" i="8"/>
  <c r="EF30" i="8"/>
  <c r="EF31" i="8"/>
  <c r="EF32" i="8"/>
  <c r="EF33" i="8"/>
  <c r="EF34" i="8"/>
  <c r="EF35" i="8"/>
  <c r="EF36" i="8"/>
  <c r="EF37" i="8"/>
  <c r="EF38" i="8"/>
  <c r="EF39" i="8"/>
  <c r="EF40" i="8"/>
  <c r="EF41" i="8"/>
  <c r="EF42" i="8"/>
  <c r="EF43" i="8"/>
  <c r="EF44" i="8"/>
  <c r="EF45" i="8"/>
  <c r="EF46" i="8"/>
  <c r="EF47" i="8"/>
  <c r="EF48" i="8"/>
  <c r="EF49" i="8"/>
  <c r="EF50" i="8"/>
  <c r="EF51" i="8"/>
  <c r="EF52" i="8"/>
  <c r="EF53" i="8"/>
  <c r="EF54" i="8"/>
  <c r="EF55" i="8"/>
  <c r="EF56" i="8"/>
  <c r="EF57" i="8"/>
  <c r="EF58" i="8"/>
  <c r="EF59" i="8"/>
  <c r="EF60" i="8"/>
  <c r="EF61" i="8"/>
  <c r="EF62" i="8"/>
  <c r="EF63" i="8"/>
  <c r="EF64" i="8"/>
  <c r="EF65" i="8"/>
  <c r="EF66" i="8"/>
  <c r="EF67" i="8"/>
  <c r="EF68" i="8"/>
  <c r="EF69" i="8"/>
  <c r="EF70" i="8"/>
  <c r="EF71" i="8"/>
  <c r="EG12" i="8"/>
  <c r="EG13" i="8"/>
  <c r="EG14" i="8"/>
  <c r="EG15" i="8"/>
  <c r="EG16" i="8"/>
  <c r="EG17" i="8"/>
  <c r="EG18" i="8"/>
  <c r="EG19" i="8"/>
  <c r="EG20" i="8"/>
  <c r="EG21" i="8"/>
  <c r="EG22" i="8"/>
  <c r="EG23" i="8"/>
  <c r="EG24" i="8"/>
  <c r="EG25" i="8"/>
  <c r="EG26" i="8"/>
  <c r="EG27" i="8"/>
  <c r="EG28" i="8"/>
  <c r="EG29" i="8"/>
  <c r="EG30" i="8"/>
  <c r="EG31" i="8"/>
  <c r="EG32" i="8"/>
  <c r="EG33" i="8"/>
  <c r="EG34" i="8"/>
  <c r="EG35" i="8"/>
  <c r="EG36" i="8"/>
  <c r="EG37" i="8"/>
  <c r="EG38" i="8"/>
  <c r="EG39" i="8"/>
  <c r="EG40" i="8"/>
  <c r="EG41" i="8"/>
  <c r="EG42" i="8"/>
  <c r="EG43" i="8"/>
  <c r="EG44" i="8"/>
  <c r="EG45" i="8"/>
  <c r="EG46" i="8"/>
  <c r="EG47" i="8"/>
  <c r="EG48" i="8"/>
  <c r="EG49" i="8"/>
  <c r="EG50" i="8"/>
  <c r="EG51" i="8"/>
  <c r="EG52" i="8"/>
  <c r="EG53" i="8"/>
  <c r="EG54" i="8"/>
  <c r="EG55" i="8"/>
  <c r="EG56" i="8"/>
  <c r="EG57" i="8"/>
  <c r="EG58" i="8"/>
  <c r="EG59" i="8"/>
  <c r="EG60" i="8"/>
  <c r="EG61" i="8"/>
  <c r="EG62" i="8"/>
  <c r="EG63" i="8"/>
  <c r="EG64" i="8"/>
  <c r="EG65" i="8"/>
  <c r="EG66" i="8"/>
  <c r="EG67" i="8"/>
  <c r="EG68" i="8"/>
  <c r="EG69" i="8"/>
  <c r="EG70" i="8"/>
  <c r="EG71" i="8"/>
  <c r="EH12" i="8"/>
  <c r="EH13" i="8"/>
  <c r="EH14" i="8"/>
  <c r="EH15" i="8"/>
  <c r="EH16" i="8"/>
  <c r="EH17" i="8"/>
  <c r="EH18" i="8"/>
  <c r="EH19" i="8"/>
  <c r="EH20" i="8"/>
  <c r="EH21" i="8"/>
  <c r="EH22" i="8"/>
  <c r="EH23" i="8"/>
  <c r="EH24" i="8"/>
  <c r="EH25" i="8"/>
  <c r="EH26" i="8"/>
  <c r="EH27" i="8"/>
  <c r="EH28" i="8"/>
  <c r="EH29" i="8"/>
  <c r="EH30" i="8"/>
  <c r="EH31" i="8"/>
  <c r="EH32" i="8"/>
  <c r="EH33" i="8"/>
  <c r="EH34" i="8"/>
  <c r="EH35" i="8"/>
  <c r="EH36" i="8"/>
  <c r="EH37" i="8"/>
  <c r="EH38" i="8"/>
  <c r="EH39" i="8"/>
  <c r="EH40" i="8"/>
  <c r="EH41" i="8"/>
  <c r="EH42" i="8"/>
  <c r="EH43" i="8"/>
  <c r="EH44" i="8"/>
  <c r="EH45" i="8"/>
  <c r="EH46" i="8"/>
  <c r="EH47" i="8"/>
  <c r="EH48" i="8"/>
  <c r="EH49" i="8"/>
  <c r="EH50" i="8"/>
  <c r="EH51" i="8"/>
  <c r="EH52" i="8"/>
  <c r="EH53" i="8"/>
  <c r="EH54" i="8"/>
  <c r="EH55" i="8"/>
  <c r="EH56" i="8"/>
  <c r="EH57" i="8"/>
  <c r="EH58" i="8"/>
  <c r="EH59" i="8"/>
  <c r="EH60" i="8"/>
  <c r="EH61" i="8"/>
  <c r="EH62" i="8"/>
  <c r="EH63" i="8"/>
  <c r="EH64" i="8"/>
  <c r="EH65" i="8"/>
  <c r="EH66" i="8"/>
  <c r="EH67" i="8"/>
  <c r="EH68" i="8"/>
  <c r="EH69" i="8"/>
  <c r="EH70" i="8"/>
  <c r="EH71" i="8"/>
  <c r="BO12" i="8"/>
  <c r="BO13" i="8"/>
  <c r="BO73" i="8" s="1"/>
  <c r="BO14" i="8"/>
  <c r="BO15" i="8"/>
  <c r="BO16" i="8"/>
  <c r="BO17" i="8"/>
  <c r="BO18" i="8"/>
  <c r="BO19" i="8"/>
  <c r="BO20" i="8"/>
  <c r="BO21" i="8"/>
  <c r="BO22" i="8"/>
  <c r="BO23" i="8"/>
  <c r="BO24" i="8"/>
  <c r="BO25" i="8"/>
  <c r="BO26" i="8"/>
  <c r="BO27" i="8"/>
  <c r="BO28" i="8"/>
  <c r="BO29" i="8"/>
  <c r="BO30" i="8"/>
  <c r="BO31" i="8"/>
  <c r="BO32" i="8"/>
  <c r="BO33" i="8"/>
  <c r="BO34" i="8"/>
  <c r="BO35" i="8"/>
  <c r="BO36" i="8"/>
  <c r="BO37" i="8"/>
  <c r="BO38" i="8"/>
  <c r="BO39" i="8"/>
  <c r="BO40" i="8"/>
  <c r="BO41" i="8"/>
  <c r="BO42" i="8"/>
  <c r="BO43" i="8"/>
  <c r="BO44" i="8"/>
  <c r="BO45" i="8"/>
  <c r="BO46" i="8"/>
  <c r="BO47" i="8"/>
  <c r="BO48" i="8"/>
  <c r="BO49" i="8"/>
  <c r="BO50" i="8"/>
  <c r="BO51" i="8"/>
  <c r="BO52" i="8"/>
  <c r="BO53" i="8"/>
  <c r="BO54" i="8"/>
  <c r="BO55" i="8"/>
  <c r="BO56" i="8"/>
  <c r="BO57" i="8"/>
  <c r="BO58" i="8"/>
  <c r="BO59" i="8"/>
  <c r="BO60" i="8"/>
  <c r="BO61" i="8"/>
  <c r="BO62" i="8"/>
  <c r="BO63" i="8"/>
  <c r="BO64" i="8"/>
  <c r="BO65" i="8"/>
  <c r="BO66" i="8"/>
  <c r="BO67" i="8"/>
  <c r="BO68" i="8"/>
  <c r="BO69" i="8"/>
  <c r="BO70" i="8"/>
  <c r="BO71" i="8"/>
  <c r="EO12" i="8"/>
  <c r="EO13" i="8"/>
  <c r="EO72" i="8" s="1"/>
  <c r="EO14" i="8"/>
  <c r="EO15" i="8"/>
  <c r="EO16" i="8"/>
  <c r="EO17" i="8"/>
  <c r="EO18" i="8"/>
  <c r="EO19" i="8"/>
  <c r="EO20" i="8"/>
  <c r="EO21" i="8"/>
  <c r="EO22" i="8"/>
  <c r="EO23" i="8"/>
  <c r="EO24" i="8"/>
  <c r="EO25" i="8"/>
  <c r="EO26" i="8"/>
  <c r="EO27" i="8"/>
  <c r="EO28" i="8"/>
  <c r="EO29" i="8"/>
  <c r="EO30" i="8"/>
  <c r="EO31" i="8"/>
  <c r="EO32" i="8"/>
  <c r="EO33" i="8"/>
  <c r="EO34" i="8"/>
  <c r="EO35" i="8"/>
  <c r="EO36" i="8"/>
  <c r="EO37" i="8"/>
  <c r="EO38" i="8"/>
  <c r="EO39" i="8"/>
  <c r="EO40" i="8"/>
  <c r="EO41" i="8"/>
  <c r="EO42" i="8"/>
  <c r="EO43" i="8"/>
  <c r="EO44" i="8"/>
  <c r="EO45" i="8"/>
  <c r="EO46" i="8"/>
  <c r="EO47" i="8"/>
  <c r="EO48" i="8"/>
  <c r="EO49" i="8"/>
  <c r="EO50" i="8"/>
  <c r="EO51" i="8"/>
  <c r="EO52" i="8"/>
  <c r="EO53" i="8"/>
  <c r="EO54" i="8"/>
  <c r="EO55" i="8"/>
  <c r="EO56" i="8"/>
  <c r="EO57" i="8"/>
  <c r="EO58" i="8"/>
  <c r="EO59" i="8"/>
  <c r="EO60" i="8"/>
  <c r="EO61" i="8"/>
  <c r="EO62" i="8"/>
  <c r="EO63" i="8"/>
  <c r="EO64" i="8"/>
  <c r="EO65" i="8"/>
  <c r="EO66" i="8"/>
  <c r="EO67" i="8"/>
  <c r="EO68" i="8"/>
  <c r="EO69" i="8"/>
  <c r="EO70" i="8"/>
  <c r="EO71" i="8"/>
  <c r="AI71" i="8"/>
  <c r="EX71" i="8"/>
  <c r="AL71" i="8"/>
  <c r="EU71" i="8"/>
  <c r="ET71" i="8"/>
  <c r="ES71" i="8"/>
  <c r="DX71" i="8"/>
  <c r="DR71" i="8"/>
  <c r="DS71" i="8" s="1"/>
  <c r="AW71" i="8"/>
  <c r="AX71" i="8"/>
  <c r="DB71" i="8"/>
  <c r="CY71" i="8"/>
  <c r="CV71" i="8"/>
  <c r="CN71" i="8"/>
  <c r="CO71" i="8" s="1"/>
  <c r="B71" i="8"/>
  <c r="AI70" i="8"/>
  <c r="EX70" i="8"/>
  <c r="AL70" i="8"/>
  <c r="EU70" i="8"/>
  <c r="ET70" i="8"/>
  <c r="ES70" i="8"/>
  <c r="DX69" i="8"/>
  <c r="DX70" i="8"/>
  <c r="DR70" i="8"/>
  <c r="DS70" i="8" s="1"/>
  <c r="AW70" i="8"/>
  <c r="AX70" i="8"/>
  <c r="DB70" i="8"/>
  <c r="DC70" i="8" s="1"/>
  <c r="CY70" i="8"/>
  <c r="CV70" i="8"/>
  <c r="CN70" i="8"/>
  <c r="CO70" i="8" s="1"/>
  <c r="B70" i="8"/>
  <c r="AI69" i="8"/>
  <c r="EX69" i="8"/>
  <c r="AL69" i="8"/>
  <c r="EU69" i="8"/>
  <c r="ET69" i="8"/>
  <c r="ES69" i="8"/>
  <c r="DR69" i="8"/>
  <c r="DS69" i="8" s="1"/>
  <c r="AW69" i="8"/>
  <c r="AX69" i="8"/>
  <c r="DB69" i="8"/>
  <c r="CY69" i="8"/>
  <c r="CV69" i="8"/>
  <c r="CN69" i="8"/>
  <c r="CO69" i="8" s="1"/>
  <c r="I69" i="8"/>
  <c r="B69" i="8"/>
  <c r="AI68" i="8"/>
  <c r="EX68" i="8"/>
  <c r="AL68" i="8"/>
  <c r="EU68" i="8"/>
  <c r="ET68" i="8"/>
  <c r="ES68" i="8"/>
  <c r="DR68" i="8"/>
  <c r="DS68" i="8" s="1"/>
  <c r="AW68" i="8"/>
  <c r="I68" i="8" s="1"/>
  <c r="DK68" i="8"/>
  <c r="DG68" i="8"/>
  <c r="AX68" i="8"/>
  <c r="DB68" i="8"/>
  <c r="DC68" i="8"/>
  <c r="CY68" i="8"/>
  <c r="CV68" i="8"/>
  <c r="CN68" i="8"/>
  <c r="CO68" i="8" s="1"/>
  <c r="B68" i="8"/>
  <c r="AI67" i="8"/>
  <c r="EX67" i="8"/>
  <c r="AL67" i="8"/>
  <c r="EU67" i="8"/>
  <c r="ET67" i="8"/>
  <c r="ES67" i="8"/>
  <c r="DR67" i="8"/>
  <c r="DS67" i="8" s="1"/>
  <c r="AW67" i="8"/>
  <c r="DI67" i="8"/>
  <c r="AX67" i="8"/>
  <c r="DB67" i="8"/>
  <c r="CY67" i="8"/>
  <c r="CV67" i="8"/>
  <c r="CN67" i="8"/>
  <c r="CO67" i="8" s="1"/>
  <c r="B67" i="8"/>
  <c r="AI66" i="8"/>
  <c r="EX66" i="8"/>
  <c r="AL66" i="8"/>
  <c r="EU66" i="8"/>
  <c r="ET66" i="8"/>
  <c r="ES66" i="8"/>
  <c r="DR66" i="8"/>
  <c r="DS66" i="8" s="1"/>
  <c r="AW66" i="8"/>
  <c r="AX66" i="8"/>
  <c r="DB66" i="8"/>
  <c r="DC66" i="8"/>
  <c r="CY66" i="8"/>
  <c r="CV66" i="8"/>
  <c r="CN66" i="8"/>
  <c r="CO66" i="8" s="1"/>
  <c r="B66" i="8"/>
  <c r="AI65" i="8"/>
  <c r="EX65" i="8"/>
  <c r="AL65" i="8"/>
  <c r="EU65" i="8"/>
  <c r="ET65" i="8"/>
  <c r="ES65" i="8"/>
  <c r="DR65" i="8"/>
  <c r="DS65" i="8" s="1"/>
  <c r="AW65" i="8"/>
  <c r="AX65" i="8"/>
  <c r="DB65" i="8"/>
  <c r="CY65" i="8"/>
  <c r="CV65" i="8"/>
  <c r="CN65" i="8"/>
  <c r="CO65" i="8" s="1"/>
  <c r="B65" i="8"/>
  <c r="AI64" i="8"/>
  <c r="EX64" i="8"/>
  <c r="AL64" i="8"/>
  <c r="EU64" i="8"/>
  <c r="ET64" i="8"/>
  <c r="ES64" i="8"/>
  <c r="DR64" i="8"/>
  <c r="DS64" i="8" s="1"/>
  <c r="AW64" i="8"/>
  <c r="I64" i="8" s="1"/>
  <c r="DK64" i="8"/>
  <c r="DG64" i="8"/>
  <c r="AX64" i="8"/>
  <c r="DB64" i="8"/>
  <c r="DC64" i="8" s="1"/>
  <c r="CY64" i="8"/>
  <c r="CV64" i="8"/>
  <c r="CN64" i="8"/>
  <c r="CO64" i="8" s="1"/>
  <c r="B64" i="8"/>
  <c r="AI63" i="8"/>
  <c r="EX63" i="8"/>
  <c r="AL63" i="8"/>
  <c r="EU63" i="8"/>
  <c r="ET63" i="8"/>
  <c r="ES63" i="8"/>
  <c r="DR63" i="8"/>
  <c r="DS63" i="8" s="1"/>
  <c r="AW63" i="8"/>
  <c r="AX63" i="8"/>
  <c r="DB63" i="8"/>
  <c r="CY63" i="8"/>
  <c r="CV63" i="8"/>
  <c r="CN63" i="8"/>
  <c r="CO63" i="8" s="1"/>
  <c r="B63" i="8"/>
  <c r="AI62" i="8"/>
  <c r="EX62" i="8"/>
  <c r="AL62" i="8"/>
  <c r="EU62" i="8"/>
  <c r="ET62" i="8"/>
  <c r="ES62" i="8"/>
  <c r="DR62" i="8"/>
  <c r="DS62" i="8" s="1"/>
  <c r="AW62" i="8"/>
  <c r="AX62" i="8"/>
  <c r="DB62" i="8"/>
  <c r="DC62" i="8" s="1"/>
  <c r="CY62" i="8"/>
  <c r="CV62" i="8"/>
  <c r="CN62" i="8"/>
  <c r="CO62" i="8" s="1"/>
  <c r="AI61" i="8"/>
  <c r="EX61" i="8"/>
  <c r="AL61" i="8"/>
  <c r="EU61" i="8"/>
  <c r="ET61" i="8"/>
  <c r="ES61" i="8"/>
  <c r="DR61" i="8"/>
  <c r="DS61" i="8" s="1"/>
  <c r="AW61" i="8"/>
  <c r="AX61" i="8"/>
  <c r="DB61" i="8"/>
  <c r="CY61" i="8"/>
  <c r="CV61" i="8"/>
  <c r="CN61" i="8"/>
  <c r="CO61" i="8" s="1"/>
  <c r="AI60" i="8"/>
  <c r="EX60" i="8"/>
  <c r="AL60" i="8"/>
  <c r="EU60" i="8"/>
  <c r="ET60" i="8"/>
  <c r="ES60" i="8"/>
  <c r="DR60" i="8"/>
  <c r="DS60" i="8" s="1"/>
  <c r="AW60" i="8"/>
  <c r="AX60" i="8"/>
  <c r="DB60" i="8"/>
  <c r="DC60" i="8" s="1"/>
  <c r="CY60" i="8"/>
  <c r="CV60" i="8"/>
  <c r="CN60" i="8"/>
  <c r="CO60" i="8" s="1"/>
  <c r="AI59" i="8"/>
  <c r="EX59" i="8"/>
  <c r="AL59" i="8"/>
  <c r="EU59" i="8"/>
  <c r="ET59" i="8"/>
  <c r="ES59" i="8"/>
  <c r="DR59" i="8"/>
  <c r="DS59" i="8" s="1"/>
  <c r="AW59" i="8"/>
  <c r="AX59" i="8"/>
  <c r="DB59" i="8"/>
  <c r="CY59" i="8"/>
  <c r="CV59" i="8"/>
  <c r="CN59" i="8"/>
  <c r="CO59" i="8" s="1"/>
  <c r="AI58" i="8"/>
  <c r="EX58" i="8"/>
  <c r="AL58" i="8"/>
  <c r="EU58" i="8"/>
  <c r="ET58" i="8"/>
  <c r="ES58" i="8"/>
  <c r="DR58" i="8"/>
  <c r="DS58" i="8" s="1"/>
  <c r="AW58" i="8"/>
  <c r="AX58" i="8"/>
  <c r="DB58" i="8"/>
  <c r="DC58" i="8"/>
  <c r="CY58" i="8"/>
  <c r="CV58" i="8"/>
  <c r="CN58" i="8"/>
  <c r="CO58" i="8" s="1"/>
  <c r="AI57" i="8"/>
  <c r="EX57" i="8"/>
  <c r="AL57" i="8"/>
  <c r="EU57" i="8"/>
  <c r="ET57" i="8"/>
  <c r="ES57" i="8"/>
  <c r="DR57" i="8"/>
  <c r="DS57" i="8" s="1"/>
  <c r="AW57" i="8"/>
  <c r="DG57" i="8"/>
  <c r="AX57" i="8"/>
  <c r="DB57" i="8"/>
  <c r="CY57" i="8"/>
  <c r="CV57" i="8"/>
  <c r="CN57" i="8"/>
  <c r="CO57" i="8" s="1"/>
  <c r="AI56" i="8"/>
  <c r="EX56" i="8"/>
  <c r="AL56" i="8"/>
  <c r="EU56" i="8"/>
  <c r="ET56" i="8"/>
  <c r="ES56" i="8"/>
  <c r="DR56" i="8"/>
  <c r="DS56" i="8" s="1"/>
  <c r="AW56" i="8"/>
  <c r="DG56" i="8"/>
  <c r="AX56" i="8"/>
  <c r="DB56" i="8"/>
  <c r="DC56" i="8" s="1"/>
  <c r="CY56" i="8"/>
  <c r="CV56" i="8"/>
  <c r="CN56" i="8"/>
  <c r="CO56" i="8" s="1"/>
  <c r="AI55" i="8"/>
  <c r="EX55" i="8"/>
  <c r="AL55" i="8"/>
  <c r="EU55" i="8"/>
  <c r="ET55" i="8"/>
  <c r="ES55" i="8"/>
  <c r="DR55" i="8"/>
  <c r="DS55" i="8" s="1"/>
  <c r="AW55" i="8"/>
  <c r="AX55" i="8"/>
  <c r="DB55" i="8"/>
  <c r="CY55" i="8"/>
  <c r="CV55" i="8"/>
  <c r="CN55" i="8"/>
  <c r="CO55" i="8" s="1"/>
  <c r="B12" i="8"/>
  <c r="AI54" i="8"/>
  <c r="EX54" i="8"/>
  <c r="AL54" i="8"/>
  <c r="EU54" i="8"/>
  <c r="ET54" i="8"/>
  <c r="ES54" i="8"/>
  <c r="DR54" i="8"/>
  <c r="DS54" i="8" s="1"/>
  <c r="AW54" i="8"/>
  <c r="AX54" i="8"/>
  <c r="DB54" i="8"/>
  <c r="DC54" i="8"/>
  <c r="CY54" i="8"/>
  <c r="CV54" i="8"/>
  <c r="CN54" i="8"/>
  <c r="CO54" i="8" s="1"/>
  <c r="AI53" i="8"/>
  <c r="EX53" i="8"/>
  <c r="AL53" i="8"/>
  <c r="EU53" i="8"/>
  <c r="ET53" i="8"/>
  <c r="ES53" i="8"/>
  <c r="DR53" i="8"/>
  <c r="DS53" i="8" s="1"/>
  <c r="AW53" i="8"/>
  <c r="AX53" i="8"/>
  <c r="DB53" i="8"/>
  <c r="CY53" i="8"/>
  <c r="CV53" i="8"/>
  <c r="CN53" i="8"/>
  <c r="CO53" i="8" s="1"/>
  <c r="AI52" i="8"/>
  <c r="EX52" i="8"/>
  <c r="AL52" i="8"/>
  <c r="EU52" i="8"/>
  <c r="ET52" i="8"/>
  <c r="ES52" i="8"/>
  <c r="DR52" i="8"/>
  <c r="DS52" i="8" s="1"/>
  <c r="AW52" i="8"/>
  <c r="AX52" i="8"/>
  <c r="DB52" i="8"/>
  <c r="DC52" i="8" s="1"/>
  <c r="CY52" i="8"/>
  <c r="CV52" i="8"/>
  <c r="CN52" i="8"/>
  <c r="CO52" i="8" s="1"/>
  <c r="AI51" i="8"/>
  <c r="EX51" i="8"/>
  <c r="AL51" i="8"/>
  <c r="EU51" i="8"/>
  <c r="ET51" i="8"/>
  <c r="ES51" i="8"/>
  <c r="DR51" i="8"/>
  <c r="DS51" i="8" s="1"/>
  <c r="AW51" i="8"/>
  <c r="AX51" i="8"/>
  <c r="DB51" i="8"/>
  <c r="CY51" i="8"/>
  <c r="CV51" i="8"/>
  <c r="CN51" i="8"/>
  <c r="CO51" i="8" s="1"/>
  <c r="AI50" i="8"/>
  <c r="EX50" i="8"/>
  <c r="AL50" i="8"/>
  <c r="EU50" i="8"/>
  <c r="ET50" i="8"/>
  <c r="ES50" i="8"/>
  <c r="DR50" i="8"/>
  <c r="DS50" i="8" s="1"/>
  <c r="AW50" i="8"/>
  <c r="AX50" i="8"/>
  <c r="DB50" i="8"/>
  <c r="DC50" i="8" s="1"/>
  <c r="CY50" i="8"/>
  <c r="CV50" i="8"/>
  <c r="CN50" i="8"/>
  <c r="CO50" i="8" s="1"/>
  <c r="AI49" i="8"/>
  <c r="EX49" i="8"/>
  <c r="AL49" i="8"/>
  <c r="EU49" i="8"/>
  <c r="ET49" i="8"/>
  <c r="ES49" i="8"/>
  <c r="DX49" i="8"/>
  <c r="DR49" i="8"/>
  <c r="DS49" i="8" s="1"/>
  <c r="AW49" i="8"/>
  <c r="AX49" i="8"/>
  <c r="DB49" i="8"/>
  <c r="CY49" i="8"/>
  <c r="CV49" i="8"/>
  <c r="CN49" i="8"/>
  <c r="CO49" i="8" s="1"/>
  <c r="AI48" i="8"/>
  <c r="EX48" i="8"/>
  <c r="AL48" i="8"/>
  <c r="EU48" i="8"/>
  <c r="ET48" i="8"/>
  <c r="ES48" i="8"/>
  <c r="DX47" i="8"/>
  <c r="DX48" i="8" s="1"/>
  <c r="DR48" i="8"/>
  <c r="DS48" i="8" s="1"/>
  <c r="AW48" i="8"/>
  <c r="DK48" i="8"/>
  <c r="AX48" i="8"/>
  <c r="DB48" i="8"/>
  <c r="DC48" i="8"/>
  <c r="CY48" i="8"/>
  <c r="CV48" i="8"/>
  <c r="CN48" i="8"/>
  <c r="CO48" i="8" s="1"/>
  <c r="AI47" i="8"/>
  <c r="EX47" i="8"/>
  <c r="AL47" i="8"/>
  <c r="EU47" i="8"/>
  <c r="ET47" i="8"/>
  <c r="ES47" i="8"/>
  <c r="DR47" i="8"/>
  <c r="DS47" i="8" s="1"/>
  <c r="AW47" i="8"/>
  <c r="AX47" i="8"/>
  <c r="DB47" i="8"/>
  <c r="CY47" i="8"/>
  <c r="CV47" i="8"/>
  <c r="CN47" i="8"/>
  <c r="CO47" i="8" s="1"/>
  <c r="AI46" i="8"/>
  <c r="EX46" i="8"/>
  <c r="AL46" i="8"/>
  <c r="EU46" i="8"/>
  <c r="ET46" i="8"/>
  <c r="ES46" i="8"/>
  <c r="DX45" i="8"/>
  <c r="DX46" i="8" s="1"/>
  <c r="DR46" i="8"/>
  <c r="DS46" i="8" s="1"/>
  <c r="AW46" i="8"/>
  <c r="AX46" i="8"/>
  <c r="DB46" i="8"/>
  <c r="DC46" i="8"/>
  <c r="CY46" i="8"/>
  <c r="CV46" i="8"/>
  <c r="CN46" i="8"/>
  <c r="CO46" i="8" s="1"/>
  <c r="AI45" i="8"/>
  <c r="EX45" i="8"/>
  <c r="AL45" i="8"/>
  <c r="EU45" i="8"/>
  <c r="ET45" i="8"/>
  <c r="ES45" i="8"/>
  <c r="DR45" i="8"/>
  <c r="DS45" i="8" s="1"/>
  <c r="AW45" i="8"/>
  <c r="AX45" i="8"/>
  <c r="DB45" i="8"/>
  <c r="CY45" i="8"/>
  <c r="CV45" i="8"/>
  <c r="CN45" i="8"/>
  <c r="CO45" i="8" s="1"/>
  <c r="AI44" i="8"/>
  <c r="EX44" i="8"/>
  <c r="AL44" i="8"/>
  <c r="EU44" i="8"/>
  <c r="ET44" i="8"/>
  <c r="ES44" i="8"/>
  <c r="DX43" i="8"/>
  <c r="DX44" i="8"/>
  <c r="DR44" i="8"/>
  <c r="DS44" i="8" s="1"/>
  <c r="AW44" i="8"/>
  <c r="AX44" i="8"/>
  <c r="DB44" i="8"/>
  <c r="DC44" i="8" s="1"/>
  <c r="CY44" i="8"/>
  <c r="CV44" i="8"/>
  <c r="CN44" i="8"/>
  <c r="CO44" i="8" s="1"/>
  <c r="AI43" i="8"/>
  <c r="EX43" i="8"/>
  <c r="AL43" i="8"/>
  <c r="EU43" i="8"/>
  <c r="ET43" i="8"/>
  <c r="ES43" i="8"/>
  <c r="DR43" i="8"/>
  <c r="DS43" i="8" s="1"/>
  <c r="AW43" i="8"/>
  <c r="AX43" i="8"/>
  <c r="DB43" i="8"/>
  <c r="CY43" i="8"/>
  <c r="CV43" i="8"/>
  <c r="CN43" i="8"/>
  <c r="CO43" i="8" s="1"/>
  <c r="AI42" i="8"/>
  <c r="EX42" i="8"/>
  <c r="AL42" i="8"/>
  <c r="EU42" i="8"/>
  <c r="ET42" i="8"/>
  <c r="ES42" i="8"/>
  <c r="DX41" i="8"/>
  <c r="DX42" i="8" s="1"/>
  <c r="DR42" i="8"/>
  <c r="DS42" i="8" s="1"/>
  <c r="AW42" i="8"/>
  <c r="AX42" i="8"/>
  <c r="DB42" i="8"/>
  <c r="DC42" i="8" s="1"/>
  <c r="CY42" i="8"/>
  <c r="CV42" i="8"/>
  <c r="CN42" i="8"/>
  <c r="CO42" i="8" s="1"/>
  <c r="AI41" i="8"/>
  <c r="EX41" i="8"/>
  <c r="AL41" i="8"/>
  <c r="EU41" i="8"/>
  <c r="ET41" i="8"/>
  <c r="ES41" i="8"/>
  <c r="DR41" i="8"/>
  <c r="DS41" i="8" s="1"/>
  <c r="AW41" i="8"/>
  <c r="AX41" i="8"/>
  <c r="DB41" i="8"/>
  <c r="CY41" i="8"/>
  <c r="CV41" i="8"/>
  <c r="CN41" i="8"/>
  <c r="CO41" i="8" s="1"/>
  <c r="AI40" i="8"/>
  <c r="EX40" i="8"/>
  <c r="AL40" i="8"/>
  <c r="EU40" i="8"/>
  <c r="ET40" i="8"/>
  <c r="ES40" i="8"/>
  <c r="DX39" i="8"/>
  <c r="DX40" i="8" s="1"/>
  <c r="DR40" i="8"/>
  <c r="DS40" i="8" s="1"/>
  <c r="AW40" i="8"/>
  <c r="AX40" i="8"/>
  <c r="DB40" i="8"/>
  <c r="DC40" i="8"/>
  <c r="CY40" i="8"/>
  <c r="CV40" i="8"/>
  <c r="CN40" i="8"/>
  <c r="CO40" i="8" s="1"/>
  <c r="AI39" i="8"/>
  <c r="EX39" i="8"/>
  <c r="AL39" i="8"/>
  <c r="EU39" i="8"/>
  <c r="ET39" i="8"/>
  <c r="ES39" i="8"/>
  <c r="DR39" i="8"/>
  <c r="DS39" i="8" s="1"/>
  <c r="AW39" i="8"/>
  <c r="AX39" i="8"/>
  <c r="DB39" i="8"/>
  <c r="CY39" i="8"/>
  <c r="CV39" i="8"/>
  <c r="CN39" i="8"/>
  <c r="CO39" i="8" s="1"/>
  <c r="AI38" i="8"/>
  <c r="EX38" i="8"/>
  <c r="AL38" i="8"/>
  <c r="EU38" i="8"/>
  <c r="ET38" i="8"/>
  <c r="ES38" i="8"/>
  <c r="DX37" i="8"/>
  <c r="DX38" i="8"/>
  <c r="DR38" i="8"/>
  <c r="DS38" i="8" s="1"/>
  <c r="AW38" i="8"/>
  <c r="AX38" i="8"/>
  <c r="DB38" i="8"/>
  <c r="DC38" i="8" s="1"/>
  <c r="CY38" i="8"/>
  <c r="CV38" i="8"/>
  <c r="CN38" i="8"/>
  <c r="CO38" i="8" s="1"/>
  <c r="AI37" i="8"/>
  <c r="EX37" i="8"/>
  <c r="AL37" i="8"/>
  <c r="EU37" i="8"/>
  <c r="ET37" i="8"/>
  <c r="ES37" i="8"/>
  <c r="AW37" i="8"/>
  <c r="AX37" i="8"/>
  <c r="DB37" i="8"/>
  <c r="CY37" i="8"/>
  <c r="CV37" i="8"/>
  <c r="CN37" i="8"/>
  <c r="CO37" i="8" s="1"/>
  <c r="AI36" i="8"/>
  <c r="EX36" i="8"/>
  <c r="AL36" i="8"/>
  <c r="EU36" i="8"/>
  <c r="ET36" i="8"/>
  <c r="ES36" i="8"/>
  <c r="DX35" i="8"/>
  <c r="DX36" i="8"/>
  <c r="DR36" i="8"/>
  <c r="DS36" i="8" s="1"/>
  <c r="DN36" i="8"/>
  <c r="AW36" i="8"/>
  <c r="AX36" i="8"/>
  <c r="DB36" i="8"/>
  <c r="DC36" i="8"/>
  <c r="CY36" i="8"/>
  <c r="CV36" i="8"/>
  <c r="CN36" i="8"/>
  <c r="CO36" i="8" s="1"/>
  <c r="AI35" i="8"/>
  <c r="EX35" i="8"/>
  <c r="AL35" i="8"/>
  <c r="EU35" i="8"/>
  <c r="ET35" i="8"/>
  <c r="ES35" i="8"/>
  <c r="DR35" i="8"/>
  <c r="DS35" i="8" s="1"/>
  <c r="AW35" i="8"/>
  <c r="AX35" i="8"/>
  <c r="DB35" i="8"/>
  <c r="CY35" i="8"/>
  <c r="CV35" i="8"/>
  <c r="CN35" i="8"/>
  <c r="CO35" i="8" s="1"/>
  <c r="AI34" i="8"/>
  <c r="EX34" i="8"/>
  <c r="AL34" i="8"/>
  <c r="EU34" i="8"/>
  <c r="ET34" i="8"/>
  <c r="ES34" i="8"/>
  <c r="DX33" i="8"/>
  <c r="DX34" i="8" s="1"/>
  <c r="DR34" i="8"/>
  <c r="DS34" i="8" s="1"/>
  <c r="AW34" i="8"/>
  <c r="AX34" i="8"/>
  <c r="DB34" i="8"/>
  <c r="DC34" i="8"/>
  <c r="CY34" i="8"/>
  <c r="CV34" i="8"/>
  <c r="CN34" i="8"/>
  <c r="CO34" i="8" s="1"/>
  <c r="DR33" i="8"/>
  <c r="DS33" i="8" s="1"/>
  <c r="EX33" i="8"/>
  <c r="DR12" i="8"/>
  <c r="AL30" i="8" s="1"/>
  <c r="EU33" i="8"/>
  <c r="ET33" i="8"/>
  <c r="ES33" i="8"/>
  <c r="DB33" i="8"/>
  <c r="CY33" i="8"/>
  <c r="CV33" i="8"/>
  <c r="CN33" i="8"/>
  <c r="CO33" i="8" s="1"/>
  <c r="DR32" i="8"/>
  <c r="DS32" i="8" s="1"/>
  <c r="EX32" i="8"/>
  <c r="EU32" i="8"/>
  <c r="ET32" i="8"/>
  <c r="ES32" i="8"/>
  <c r="DX31" i="8"/>
  <c r="DX32" i="8"/>
  <c r="DB32" i="8"/>
  <c r="DC32" i="8" s="1"/>
  <c r="CY32" i="8"/>
  <c r="CV32" i="8"/>
  <c r="CN32" i="8"/>
  <c r="CO32" i="8" s="1"/>
  <c r="DR31" i="8"/>
  <c r="DS31" i="8" s="1"/>
  <c r="EX31" i="8"/>
  <c r="EU31" i="8"/>
  <c r="ET31" i="8"/>
  <c r="ES31" i="8"/>
  <c r="DB31" i="8"/>
  <c r="CY31" i="8"/>
  <c r="CV31" i="8"/>
  <c r="CN31" i="8"/>
  <c r="CO31" i="8" s="1"/>
  <c r="DR30" i="8"/>
  <c r="DS30" i="8" s="1"/>
  <c r="EX30" i="8"/>
  <c r="EU30" i="8"/>
  <c r="ET30" i="8"/>
  <c r="ES30" i="8"/>
  <c r="DB30" i="8"/>
  <c r="DC30" i="8" s="1"/>
  <c r="CY30" i="8"/>
  <c r="CV30" i="8"/>
  <c r="CN30" i="8"/>
  <c r="CO30" i="8" s="1"/>
  <c r="DR29" i="8"/>
  <c r="DS29" i="8" s="1"/>
  <c r="EX29" i="8"/>
  <c r="EU29" i="8"/>
  <c r="ET29" i="8"/>
  <c r="ES29" i="8"/>
  <c r="DB29" i="8"/>
  <c r="CY29" i="8"/>
  <c r="CV29" i="8"/>
  <c r="CN29" i="8"/>
  <c r="CO29" i="8" s="1"/>
  <c r="DR28" i="8"/>
  <c r="DS28" i="8" s="1"/>
  <c r="EX28" i="8"/>
  <c r="EU28" i="8"/>
  <c r="ET28" i="8"/>
  <c r="ES28" i="8"/>
  <c r="DB28" i="8"/>
  <c r="DC28" i="8"/>
  <c r="CY28" i="8"/>
  <c r="CV28" i="8"/>
  <c r="CN28" i="8"/>
  <c r="CO28" i="8" s="1"/>
  <c r="DR27" i="8"/>
  <c r="DS27" i="8" s="1"/>
  <c r="EX27" i="8"/>
  <c r="EU27" i="8"/>
  <c r="ET27" i="8"/>
  <c r="ES27" i="8"/>
  <c r="DB27" i="8"/>
  <c r="CY27" i="8"/>
  <c r="CV27" i="8"/>
  <c r="CN27" i="8"/>
  <c r="CO27" i="8" s="1"/>
  <c r="DR26" i="8"/>
  <c r="DS26" i="8" s="1"/>
  <c r="EX26" i="8"/>
  <c r="EU26" i="8"/>
  <c r="ET26" i="8"/>
  <c r="ES26" i="8"/>
  <c r="DB26" i="8"/>
  <c r="DC26" i="8"/>
  <c r="CY26" i="8"/>
  <c r="CV26" i="8"/>
  <c r="CN26" i="8"/>
  <c r="CO26" i="8" s="1"/>
  <c r="DR25" i="8"/>
  <c r="DS25" i="8" s="1"/>
  <c r="EX25" i="8"/>
  <c r="EU25" i="8"/>
  <c r="ET25" i="8"/>
  <c r="ES25" i="8"/>
  <c r="DB25" i="8"/>
  <c r="CY25" i="8"/>
  <c r="CV25" i="8"/>
  <c r="CN25" i="8"/>
  <c r="CO25" i="8" s="1"/>
  <c r="DR24" i="8"/>
  <c r="DS24" i="8" s="1"/>
  <c r="EX24" i="8"/>
  <c r="EU24" i="8"/>
  <c r="ET24" i="8"/>
  <c r="ES24" i="8"/>
  <c r="DB24" i="8"/>
  <c r="DC24" i="8"/>
  <c r="CY24" i="8"/>
  <c r="CV24" i="8"/>
  <c r="CN24" i="8"/>
  <c r="CO24" i="8" s="1"/>
  <c r="DR23" i="8"/>
  <c r="DS23" i="8" s="1"/>
  <c r="EX23" i="8"/>
  <c r="EU23" i="8"/>
  <c r="ET23" i="8"/>
  <c r="ES23" i="8"/>
  <c r="DB23" i="8"/>
  <c r="CY23" i="8"/>
  <c r="CV23" i="8"/>
  <c r="CN23" i="8"/>
  <c r="CO23" i="8" s="1"/>
  <c r="I23" i="8"/>
  <c r="BB23" i="8" s="1"/>
  <c r="BT23" i="8" s="1"/>
  <c r="DR22" i="8"/>
  <c r="DS22" i="8" s="1"/>
  <c r="EX22" i="8"/>
  <c r="EU22" i="8"/>
  <c r="ET22" i="8"/>
  <c r="ES22" i="8"/>
  <c r="DB22" i="8"/>
  <c r="DC22" i="8"/>
  <c r="CY22" i="8"/>
  <c r="CV22" i="8"/>
  <c r="CN22" i="8"/>
  <c r="CO22" i="8" s="1"/>
  <c r="DR21" i="8"/>
  <c r="DS21" i="8" s="1"/>
  <c r="EX21" i="8"/>
  <c r="EU21" i="8"/>
  <c r="ET21" i="8"/>
  <c r="ES21" i="8"/>
  <c r="DB21" i="8"/>
  <c r="CY21" i="8"/>
  <c r="CV21" i="8"/>
  <c r="CN21" i="8"/>
  <c r="CO21" i="8" s="1"/>
  <c r="I21" i="8"/>
  <c r="BB21" i="8" s="1"/>
  <c r="BR21" i="8" s="1"/>
  <c r="DR20" i="8"/>
  <c r="DS20" i="8" s="1"/>
  <c r="EX20" i="8"/>
  <c r="EU20" i="8"/>
  <c r="ET20" i="8"/>
  <c r="ES20" i="8"/>
  <c r="DB20" i="8"/>
  <c r="DC20" i="8"/>
  <c r="CY20" i="8"/>
  <c r="CV20" i="8"/>
  <c r="CN20" i="8"/>
  <c r="CO20" i="8" s="1"/>
  <c r="DR19" i="8"/>
  <c r="DS19" i="8" s="1"/>
  <c r="EX19" i="8"/>
  <c r="EU19" i="8"/>
  <c r="ET19" i="8"/>
  <c r="ES19" i="8"/>
  <c r="DB19" i="8"/>
  <c r="CY19" i="8"/>
  <c r="CV19" i="8"/>
  <c r="CN19" i="8"/>
  <c r="CO19" i="8" s="1"/>
  <c r="I19" i="8"/>
  <c r="BB19" i="8" s="1"/>
  <c r="BQ19" i="8" s="1"/>
  <c r="DR18" i="8"/>
  <c r="DS18" i="8" s="1"/>
  <c r="EX18" i="8"/>
  <c r="EU18" i="8"/>
  <c r="ET18" i="8"/>
  <c r="ES18" i="8"/>
  <c r="DB18" i="8"/>
  <c r="DC18" i="8"/>
  <c r="CY18" i="8"/>
  <c r="CV18" i="8"/>
  <c r="CN18" i="8"/>
  <c r="CO18" i="8" s="1"/>
  <c r="DR17" i="8"/>
  <c r="DS17" i="8" s="1"/>
  <c r="EX17" i="8"/>
  <c r="EU17" i="8"/>
  <c r="ET17" i="8"/>
  <c r="ES17" i="8"/>
  <c r="DB17" i="8"/>
  <c r="CY17" i="8"/>
  <c r="CV17" i="8"/>
  <c r="CN17" i="8"/>
  <c r="CO17" i="8" s="1"/>
  <c r="I17" i="8"/>
  <c r="BB17" i="8"/>
  <c r="BT17" i="8" s="1"/>
  <c r="DR16" i="8"/>
  <c r="DS16" i="8" s="1"/>
  <c r="EX16" i="8"/>
  <c r="EU16" i="8"/>
  <c r="ET16" i="8"/>
  <c r="ES16" i="8"/>
  <c r="DB16" i="8"/>
  <c r="DC16" i="8" s="1"/>
  <c r="CY16" i="8"/>
  <c r="CV16" i="8"/>
  <c r="CN16" i="8"/>
  <c r="CO16" i="8" s="1"/>
  <c r="DR15" i="8"/>
  <c r="DS15" i="8" s="1"/>
  <c r="EX15" i="8"/>
  <c r="EU15" i="8"/>
  <c r="ET15" i="8"/>
  <c r="ES15" i="8"/>
  <c r="DB15" i="8"/>
  <c r="CY15" i="8"/>
  <c r="CV15" i="8"/>
  <c r="CN15" i="8"/>
  <c r="CO15" i="8" s="1"/>
  <c r="DR14" i="8"/>
  <c r="DS14" i="8" s="1"/>
  <c r="EX14" i="8"/>
  <c r="EX10" i="8" s="1"/>
  <c r="EU14" i="8"/>
  <c r="ET14" i="8"/>
  <c r="ES14" i="8"/>
  <c r="DB14" i="8"/>
  <c r="DC14" i="8" s="1"/>
  <c r="CY14" i="8"/>
  <c r="CV14" i="8"/>
  <c r="CN14" i="8"/>
  <c r="CO14" i="8" s="1"/>
  <c r="DR13" i="8"/>
  <c r="DS13" i="8" s="1"/>
  <c r="EX13" i="8"/>
  <c r="EU13" i="8"/>
  <c r="ET13" i="8"/>
  <c r="ES13" i="8"/>
  <c r="DB13" i="8"/>
  <c r="CY13" i="8"/>
  <c r="CV13" i="8"/>
  <c r="CN13" i="8"/>
  <c r="CO13" i="8" s="1"/>
  <c r="EX12" i="8"/>
  <c r="EU12" i="8"/>
  <c r="ET12" i="8"/>
  <c r="ES12" i="8"/>
  <c r="DB12" i="8"/>
  <c r="DC12" i="8"/>
  <c r="CY12" i="8"/>
  <c r="CV12" i="8"/>
  <c r="CN12" i="8"/>
  <c r="CO12" i="8" s="1"/>
  <c r="ET10" i="8"/>
  <c r="AR10" i="8"/>
  <c r="AN10" i="8"/>
  <c r="AM10" i="8"/>
  <c r="AJ10" i="8"/>
  <c r="AH10" i="8"/>
  <c r="AF10" i="8"/>
  <c r="AD10" i="8"/>
  <c r="AB10" i="8"/>
  <c r="Z5" i="8"/>
  <c r="Z10" i="8" s="1"/>
  <c r="Y10" i="8"/>
  <c r="W10" i="8"/>
  <c r="V10" i="8"/>
  <c r="U10" i="8"/>
  <c r="T10" i="8"/>
  <c r="S10" i="8"/>
  <c r="R10" i="8"/>
  <c r="Q10" i="8"/>
  <c r="P10" i="8"/>
  <c r="O10" i="8"/>
  <c r="N10" i="8"/>
  <c r="M10" i="8"/>
  <c r="L10" i="8"/>
  <c r="K10" i="8"/>
  <c r="J10" i="8"/>
  <c r="AH9" i="8"/>
  <c r="AF9" i="8"/>
  <c r="AJ8" i="8"/>
  <c r="AH8" i="8"/>
  <c r="AE7" i="8"/>
  <c r="AD7" i="8"/>
  <c r="AJ5" i="8"/>
  <c r="AA5" i="8"/>
  <c r="A11" i="7"/>
  <c r="A14" i="7" s="1"/>
  <c r="A135" i="10" s="1"/>
  <c r="E2" i="8"/>
  <c r="B2" i="8"/>
  <c r="R1" i="8"/>
  <c r="Q1" i="8"/>
  <c r="P1" i="8"/>
  <c r="R1" i="4"/>
  <c r="Q1" i="4"/>
  <c r="P1" i="4"/>
  <c r="P10" i="4"/>
  <c r="F36" i="10" s="1"/>
  <c r="D132" i="10" s="1"/>
  <c r="F132" i="10" s="1"/>
  <c r="Q10" i="4"/>
  <c r="AZ12" i="4"/>
  <c r="DO12" i="4" s="1"/>
  <c r="AZ13" i="4"/>
  <c r="DO13" i="4" s="1"/>
  <c r="AZ15" i="4"/>
  <c r="DO15" i="4" s="1"/>
  <c r="DP15" i="4" s="1"/>
  <c r="DQ15" i="4" s="1"/>
  <c r="AZ16" i="4"/>
  <c r="I16" i="4" s="1"/>
  <c r="BE16" i="4" s="1"/>
  <c r="Z5" i="4"/>
  <c r="AZ37" i="4"/>
  <c r="I37" i="4" s="1"/>
  <c r="BE37" i="4" s="1"/>
  <c r="BI37" i="4" s="1"/>
  <c r="AZ36" i="4"/>
  <c r="DO36" i="4" s="1"/>
  <c r="DR36" i="4" s="1"/>
  <c r="DS36" i="4" s="1"/>
  <c r="AZ35" i="4"/>
  <c r="AZ34" i="4"/>
  <c r="DO34" i="4" s="1"/>
  <c r="DR34" i="4" s="1"/>
  <c r="DS34" i="4" s="1"/>
  <c r="AJ8" i="4"/>
  <c r="AH8" i="4"/>
  <c r="AJ5" i="4"/>
  <c r="K147" i="3"/>
  <c r="AH9" i="4"/>
  <c r="AF9" i="4"/>
  <c r="AD7" i="4"/>
  <c r="C11" i="7"/>
  <c r="X119" i="3"/>
  <c r="W119" i="3"/>
  <c r="V119" i="3"/>
  <c r="U119" i="3"/>
  <c r="T119" i="3"/>
  <c r="S119" i="3"/>
  <c r="R119" i="3"/>
  <c r="Q119" i="3"/>
  <c r="P119" i="3"/>
  <c r="O119" i="3"/>
  <c r="N119" i="3"/>
  <c r="M119" i="3"/>
  <c r="L119" i="3"/>
  <c r="K119" i="3"/>
  <c r="J119" i="3"/>
  <c r="I119" i="3"/>
  <c r="H119" i="3"/>
  <c r="G119" i="3"/>
  <c r="F119" i="3"/>
  <c r="E119" i="3"/>
  <c r="D119" i="3"/>
  <c r="N3" i="3"/>
  <c r="R34" i="6"/>
  <c r="R33" i="6"/>
  <c r="EC28" i="4"/>
  <c r="EC29" i="4"/>
  <c r="EC30" i="4"/>
  <c r="EC31" i="4"/>
  <c r="EC32" i="4"/>
  <c r="EC33" i="4"/>
  <c r="EC34" i="4"/>
  <c r="EC35" i="4"/>
  <c r="EC36" i="4"/>
  <c r="EC37" i="4"/>
  <c r="EC38" i="4"/>
  <c r="EC39" i="4"/>
  <c r="EC40" i="4"/>
  <c r="EC41" i="4"/>
  <c r="EC42" i="4"/>
  <c r="EC43" i="4"/>
  <c r="EC44" i="4"/>
  <c r="EC45" i="4"/>
  <c r="EC46" i="4"/>
  <c r="EC47" i="4"/>
  <c r="EC48" i="4"/>
  <c r="EC49" i="4"/>
  <c r="EC50" i="4"/>
  <c r="EC51" i="4"/>
  <c r="EC52" i="4"/>
  <c r="EC53" i="4"/>
  <c r="EC54" i="4"/>
  <c r="EC55" i="4"/>
  <c r="EC56" i="4"/>
  <c r="EC57" i="4"/>
  <c r="EC58" i="4"/>
  <c r="EC59" i="4"/>
  <c r="EC60" i="4"/>
  <c r="EC61" i="4"/>
  <c r="EC62" i="4"/>
  <c r="EC63" i="4"/>
  <c r="EC64" i="4"/>
  <c r="EC65" i="4"/>
  <c r="EC66" i="4"/>
  <c r="EC67" i="4"/>
  <c r="EC68" i="4"/>
  <c r="EC69" i="4"/>
  <c r="EC70" i="4"/>
  <c r="EC71" i="4"/>
  <c r="EC13" i="4"/>
  <c r="EC14" i="4"/>
  <c r="EC15" i="4"/>
  <c r="EC16" i="4"/>
  <c r="EC17" i="4"/>
  <c r="EC18" i="4"/>
  <c r="EC19" i="4"/>
  <c r="EC20" i="4"/>
  <c r="EC21" i="4"/>
  <c r="EC22" i="4"/>
  <c r="EC23" i="4"/>
  <c r="EC24" i="4"/>
  <c r="EC25" i="4"/>
  <c r="EC26" i="4"/>
  <c r="EC27" i="4"/>
  <c r="EC12" i="4"/>
  <c r="BR12" i="4"/>
  <c r="ES35" i="4"/>
  <c r="ES36" i="4"/>
  <c r="ES37" i="4"/>
  <c r="ES38" i="4"/>
  <c r="ES39" i="4"/>
  <c r="ES40" i="4"/>
  <c r="ES41" i="4"/>
  <c r="ES42" i="4"/>
  <c r="ES43" i="4"/>
  <c r="ES44" i="4"/>
  <c r="ES45" i="4"/>
  <c r="ES46" i="4"/>
  <c r="ES47" i="4"/>
  <c r="ES48" i="4"/>
  <c r="ES49" i="4"/>
  <c r="ES50" i="4"/>
  <c r="ES51" i="4"/>
  <c r="ES52" i="4"/>
  <c r="ES53" i="4"/>
  <c r="ES54" i="4"/>
  <c r="ES55" i="4"/>
  <c r="ES56" i="4"/>
  <c r="ES57" i="4"/>
  <c r="ES58" i="4"/>
  <c r="ES59" i="4"/>
  <c r="ES60" i="4"/>
  <c r="ES61" i="4"/>
  <c r="ES62" i="4"/>
  <c r="ES63" i="4"/>
  <c r="ES64" i="4"/>
  <c r="ES65" i="4"/>
  <c r="ES66" i="4"/>
  <c r="ES67" i="4"/>
  <c r="ES68" i="4"/>
  <c r="ES69" i="4"/>
  <c r="ES70" i="4"/>
  <c r="ES71" i="4"/>
  <c r="ES13" i="4"/>
  <c r="ES14" i="4"/>
  <c r="ES15" i="4"/>
  <c r="ES16" i="4"/>
  <c r="ES17" i="4"/>
  <c r="ES18" i="4"/>
  <c r="ES19" i="4"/>
  <c r="ES20" i="4"/>
  <c r="ES21" i="4"/>
  <c r="ES22" i="4"/>
  <c r="ES23" i="4"/>
  <c r="ES24" i="4"/>
  <c r="ES25" i="4"/>
  <c r="ES26" i="4"/>
  <c r="ES27" i="4"/>
  <c r="ES28" i="4"/>
  <c r="ES29" i="4"/>
  <c r="ES30" i="4"/>
  <c r="ES31" i="4"/>
  <c r="ES32" i="4"/>
  <c r="ES33" i="4"/>
  <c r="ES34" i="4"/>
  <c r="ES12" i="4"/>
  <c r="AR10" i="4"/>
  <c r="L143" i="3"/>
  <c r="BA68" i="4"/>
  <c r="EH14" i="4"/>
  <c r="EJ14" i="4"/>
  <c r="EJ13" i="4"/>
  <c r="EN13" i="4"/>
  <c r="EN12" i="4"/>
  <c r="EX12" i="4"/>
  <c r="EJ12" i="4"/>
  <c r="CP12" i="4"/>
  <c r="EZ13" i="4"/>
  <c r="BR15" i="4"/>
  <c r="BR14" i="4"/>
  <c r="BR13" i="4"/>
  <c r="Y10" i="4"/>
  <c r="L144" i="3"/>
  <c r="L142" i="3"/>
  <c r="R10" i="4"/>
  <c r="D161" i="3"/>
  <c r="EX71" i="4"/>
  <c r="EZ71" i="4"/>
  <c r="EZ70" i="4"/>
  <c r="EZ69" i="4"/>
  <c r="EZ68" i="4"/>
  <c r="EZ67" i="4"/>
  <c r="EZ66" i="4"/>
  <c r="EZ65" i="4"/>
  <c r="EZ64" i="4"/>
  <c r="EZ63" i="4"/>
  <c r="EZ62" i="4"/>
  <c r="EZ61" i="4"/>
  <c r="EZ60" i="4"/>
  <c r="EZ59" i="4"/>
  <c r="EZ58" i="4"/>
  <c r="EZ57" i="4"/>
  <c r="EZ56" i="4"/>
  <c r="EZ55" i="4"/>
  <c r="EZ54" i="4"/>
  <c r="EZ53" i="4"/>
  <c r="EZ52" i="4"/>
  <c r="EZ51" i="4"/>
  <c r="EZ50" i="4"/>
  <c r="EZ49" i="4"/>
  <c r="EZ48" i="4"/>
  <c r="EZ47" i="4"/>
  <c r="EZ46" i="4"/>
  <c r="EZ45" i="4"/>
  <c r="EZ44" i="4"/>
  <c r="EZ43" i="4"/>
  <c r="EZ42" i="4"/>
  <c r="EZ41" i="4"/>
  <c r="EZ40" i="4"/>
  <c r="EZ39" i="4"/>
  <c r="EZ38" i="4"/>
  <c r="EZ37" i="4"/>
  <c r="EZ36" i="4"/>
  <c r="EZ35" i="4"/>
  <c r="EZ34" i="4"/>
  <c r="EZ33" i="4"/>
  <c r="EZ32" i="4"/>
  <c r="EZ31" i="4"/>
  <c r="EZ30" i="4"/>
  <c r="EZ29" i="4"/>
  <c r="EZ28" i="4"/>
  <c r="EZ27" i="4"/>
  <c r="EZ26" i="4"/>
  <c r="EZ25" i="4"/>
  <c r="EZ24" i="4"/>
  <c r="EZ23" i="4"/>
  <c r="EZ22" i="4"/>
  <c r="EZ21" i="4"/>
  <c r="EZ20" i="4"/>
  <c r="EZ19" i="4"/>
  <c r="EZ18" i="4"/>
  <c r="EZ17" i="4"/>
  <c r="EZ16" i="4"/>
  <c r="EZ15" i="4"/>
  <c r="EZ14" i="4"/>
  <c r="EM72" i="4"/>
  <c r="EJ71" i="4"/>
  <c r="EJ70" i="4"/>
  <c r="EJ69" i="4"/>
  <c r="EJ68" i="4"/>
  <c r="EJ67" i="4"/>
  <c r="EJ66" i="4"/>
  <c r="EJ65" i="4"/>
  <c r="EJ64" i="4"/>
  <c r="EJ63" i="4"/>
  <c r="EJ62" i="4"/>
  <c r="EJ61" i="4"/>
  <c r="EJ60" i="4"/>
  <c r="EJ59" i="4"/>
  <c r="EJ58" i="4"/>
  <c r="EJ57" i="4"/>
  <c r="EJ56" i="4"/>
  <c r="EJ55" i="4"/>
  <c r="EJ54" i="4"/>
  <c r="EJ53" i="4"/>
  <c r="EJ52" i="4"/>
  <c r="EJ51" i="4"/>
  <c r="EJ50" i="4"/>
  <c r="EJ49" i="4"/>
  <c r="EJ48" i="4"/>
  <c r="EJ47" i="4"/>
  <c r="EJ46" i="4"/>
  <c r="EJ45" i="4"/>
  <c r="EJ44" i="4"/>
  <c r="EJ43" i="4"/>
  <c r="EJ42" i="4"/>
  <c r="EJ41" i="4"/>
  <c r="EJ40" i="4"/>
  <c r="EJ39" i="4"/>
  <c r="EJ38" i="4"/>
  <c r="EJ37" i="4"/>
  <c r="EJ36" i="4"/>
  <c r="EJ35" i="4"/>
  <c r="EJ34" i="4"/>
  <c r="EJ33" i="4"/>
  <c r="EJ32" i="4"/>
  <c r="EJ31" i="4"/>
  <c r="EJ30" i="4"/>
  <c r="EJ29" i="4"/>
  <c r="EJ28" i="4"/>
  <c r="EJ27" i="4"/>
  <c r="EJ26" i="4"/>
  <c r="EJ25" i="4"/>
  <c r="EJ24" i="4"/>
  <c r="EJ23" i="4"/>
  <c r="EJ22" i="4"/>
  <c r="EJ21" i="4"/>
  <c r="EJ20" i="4"/>
  <c r="EJ19" i="4"/>
  <c r="EJ18" i="4"/>
  <c r="EJ17" i="4"/>
  <c r="EJ16" i="4"/>
  <c r="EJ15" i="4"/>
  <c r="EN71" i="4"/>
  <c r="EN70" i="4"/>
  <c r="EN69" i="4"/>
  <c r="EN68" i="4"/>
  <c r="EN67" i="4"/>
  <c r="EN66" i="4"/>
  <c r="EN65" i="4"/>
  <c r="EN64" i="4"/>
  <c r="EN63" i="4"/>
  <c r="EN62" i="4"/>
  <c r="EN61" i="4"/>
  <c r="EN60" i="4"/>
  <c r="EN59" i="4"/>
  <c r="EN58" i="4"/>
  <c r="EN57" i="4"/>
  <c r="EN56" i="4"/>
  <c r="EN55" i="4"/>
  <c r="EN54" i="4"/>
  <c r="EN53" i="4"/>
  <c r="EN52" i="4"/>
  <c r="EN51" i="4"/>
  <c r="EN50" i="4"/>
  <c r="EN49" i="4"/>
  <c r="EN48" i="4"/>
  <c r="EN47" i="4"/>
  <c r="EN46" i="4"/>
  <c r="EN45" i="4"/>
  <c r="EN44" i="4"/>
  <c r="EN43" i="4"/>
  <c r="EN42" i="4"/>
  <c r="EN41" i="4"/>
  <c r="EN40" i="4"/>
  <c r="EN39" i="4"/>
  <c r="EN38" i="4"/>
  <c r="EN37" i="4"/>
  <c r="EN36" i="4"/>
  <c r="EN35" i="4"/>
  <c r="EN34" i="4"/>
  <c r="EN33" i="4"/>
  <c r="EN32" i="4"/>
  <c r="EN31" i="4"/>
  <c r="EN30" i="4"/>
  <c r="EN29" i="4"/>
  <c r="EN28" i="4"/>
  <c r="EN27" i="4"/>
  <c r="EN26" i="4"/>
  <c r="EN25" i="4"/>
  <c r="EN24" i="4"/>
  <c r="EN23" i="4"/>
  <c r="EN22" i="4"/>
  <c r="EN21" i="4"/>
  <c r="EN20" i="4"/>
  <c r="EN19" i="4"/>
  <c r="EN18" i="4"/>
  <c r="EN17" i="4"/>
  <c r="EN16" i="4"/>
  <c r="EN15" i="4"/>
  <c r="EN14" i="4"/>
  <c r="EL12" i="4"/>
  <c r="EK12" i="4"/>
  <c r="EH13" i="4"/>
  <c r="CP71" i="4"/>
  <c r="CP70" i="4"/>
  <c r="CP69" i="4"/>
  <c r="CP68" i="4"/>
  <c r="CP67" i="4"/>
  <c r="CP66" i="4"/>
  <c r="CP65" i="4"/>
  <c r="CP64" i="4"/>
  <c r="CP63" i="4"/>
  <c r="CP62" i="4"/>
  <c r="CP61" i="4"/>
  <c r="CP60" i="4"/>
  <c r="CP59" i="4"/>
  <c r="CP58" i="4"/>
  <c r="CP57" i="4"/>
  <c r="CP56" i="4"/>
  <c r="CP55" i="4"/>
  <c r="CP54" i="4"/>
  <c r="CP53" i="4"/>
  <c r="CP52" i="4"/>
  <c r="CP51" i="4"/>
  <c r="CP50" i="4"/>
  <c r="CP49" i="4"/>
  <c r="CP48" i="4"/>
  <c r="CP47" i="4"/>
  <c r="CP46" i="4"/>
  <c r="CP45" i="4"/>
  <c r="CP44" i="4"/>
  <c r="CP43" i="4"/>
  <c r="CP42" i="4"/>
  <c r="CP41" i="4"/>
  <c r="CP40" i="4"/>
  <c r="CP39" i="4"/>
  <c r="CP38" i="4"/>
  <c r="CP37" i="4"/>
  <c r="CP36" i="4"/>
  <c r="CP35" i="4"/>
  <c r="CP34" i="4"/>
  <c r="CP33" i="4"/>
  <c r="CP32" i="4"/>
  <c r="CP31" i="4"/>
  <c r="CP30" i="4"/>
  <c r="CP29" i="4"/>
  <c r="CP28" i="4"/>
  <c r="CP27" i="4"/>
  <c r="CP26" i="4"/>
  <c r="CP25" i="4"/>
  <c r="CP24" i="4"/>
  <c r="CP23" i="4"/>
  <c r="CP22" i="4"/>
  <c r="CP21" i="4"/>
  <c r="CP20" i="4"/>
  <c r="CP19" i="4"/>
  <c r="CP18" i="4"/>
  <c r="CP17" i="4"/>
  <c r="CP16" i="4"/>
  <c r="CP15" i="4"/>
  <c r="CP14" i="4"/>
  <c r="CP13" i="4"/>
  <c r="BR71" i="4"/>
  <c r="BR70" i="4"/>
  <c r="BR69" i="4"/>
  <c r="BR68" i="4"/>
  <c r="BR67" i="4"/>
  <c r="BR66" i="4"/>
  <c r="BR65" i="4"/>
  <c r="BR64" i="4"/>
  <c r="BR63" i="4"/>
  <c r="BR62" i="4"/>
  <c r="BR61" i="4"/>
  <c r="BR60" i="4"/>
  <c r="BR59" i="4"/>
  <c r="BR58" i="4"/>
  <c r="BR57" i="4"/>
  <c r="BR56" i="4"/>
  <c r="BR55" i="4"/>
  <c r="BR54" i="4"/>
  <c r="BR53" i="4"/>
  <c r="BR52" i="4"/>
  <c r="BR51" i="4"/>
  <c r="BR50" i="4"/>
  <c r="BR49" i="4"/>
  <c r="BR48" i="4"/>
  <c r="BR47" i="4"/>
  <c r="BR46" i="4"/>
  <c r="BR45" i="4"/>
  <c r="BR44" i="4"/>
  <c r="BR43" i="4"/>
  <c r="BR42" i="4"/>
  <c r="BR41" i="4"/>
  <c r="BR40" i="4"/>
  <c r="BR39" i="4"/>
  <c r="BR38" i="4"/>
  <c r="BR37" i="4"/>
  <c r="BR36" i="4"/>
  <c r="BR35" i="4"/>
  <c r="BR34" i="4"/>
  <c r="BR33" i="4"/>
  <c r="BR32" i="4"/>
  <c r="BR31" i="4"/>
  <c r="BR30" i="4"/>
  <c r="BR29" i="4"/>
  <c r="BR28" i="4"/>
  <c r="BR27" i="4"/>
  <c r="BR26" i="4"/>
  <c r="BR25" i="4"/>
  <c r="BR24" i="4"/>
  <c r="BR23" i="4"/>
  <c r="BR22" i="4"/>
  <c r="BR21" i="4"/>
  <c r="BR20" i="4"/>
  <c r="BR19" i="4"/>
  <c r="BR18" i="4"/>
  <c r="BR17" i="4"/>
  <c r="BR16" i="4"/>
  <c r="BG37" i="4"/>
  <c r="BT12" i="4"/>
  <c r="J10" i="4"/>
  <c r="S10" i="4"/>
  <c r="M10" i="4"/>
  <c r="L10" i="4"/>
  <c r="K10" i="4"/>
  <c r="DT12" i="4"/>
  <c r="AN10" i="4"/>
  <c r="AM10" i="4"/>
  <c r="W10" i="4"/>
  <c r="V10" i="4"/>
  <c r="U10" i="4"/>
  <c r="T10" i="4"/>
  <c r="O10" i="4"/>
  <c r="N10" i="4"/>
  <c r="Y16" i="3"/>
  <c r="Y1" i="3"/>
  <c r="E2" i="4"/>
  <c r="B2" i="4"/>
  <c r="V144" i="3"/>
  <c r="V143" i="3"/>
  <c r="V142" i="3"/>
  <c r="DT13" i="4"/>
  <c r="DT14" i="4"/>
  <c r="DT15" i="4"/>
  <c r="DT16" i="4"/>
  <c r="DT17" i="4"/>
  <c r="DT18" i="4"/>
  <c r="DT19" i="4"/>
  <c r="DT20" i="4"/>
  <c r="DT21" i="4"/>
  <c r="DT22" i="4"/>
  <c r="DT23" i="4"/>
  <c r="DT24" i="4"/>
  <c r="DT25" i="4"/>
  <c r="DT26" i="4"/>
  <c r="DT27" i="4"/>
  <c r="DT28" i="4"/>
  <c r="DT29" i="4"/>
  <c r="DT30" i="4"/>
  <c r="DT31" i="4"/>
  <c r="DT32" i="4"/>
  <c r="DT33" i="4"/>
  <c r="DT34" i="4"/>
  <c r="DT35" i="4"/>
  <c r="DT36" i="4"/>
  <c r="DT37" i="4"/>
  <c r="DT38" i="4"/>
  <c r="DT39" i="4"/>
  <c r="DT40" i="4"/>
  <c r="DT41" i="4"/>
  <c r="DT42" i="4"/>
  <c r="DT43" i="4"/>
  <c r="DT44" i="4"/>
  <c r="DT45" i="4"/>
  <c r="DT46" i="4"/>
  <c r="DT47" i="4"/>
  <c r="DT48" i="4"/>
  <c r="DT49" i="4"/>
  <c r="DT50" i="4"/>
  <c r="DT51" i="4"/>
  <c r="DT52" i="4"/>
  <c r="DT53" i="4"/>
  <c r="DT54" i="4"/>
  <c r="DT55" i="4"/>
  <c r="DT56" i="4"/>
  <c r="DT57" i="4"/>
  <c r="DT58" i="4"/>
  <c r="DT59" i="4"/>
  <c r="DT60" i="4"/>
  <c r="DT61" i="4"/>
  <c r="DT62" i="4"/>
  <c r="DT63" i="4"/>
  <c r="DT64" i="4"/>
  <c r="DT65" i="4"/>
  <c r="DT66" i="4"/>
  <c r="DT67" i="4"/>
  <c r="DT68" i="4"/>
  <c r="DT69" i="4"/>
  <c r="DT70" i="4"/>
  <c r="DT71" i="4"/>
  <c r="DP34" i="4"/>
  <c r="DQ34" i="4" s="1"/>
  <c r="DI63" i="4"/>
  <c r="DJ63" i="4" s="1"/>
  <c r="DK63" i="4"/>
  <c r="DL63" i="4" s="1"/>
  <c r="DM63" i="4"/>
  <c r="DN63" i="4" s="1"/>
  <c r="DP63" i="4"/>
  <c r="DQ63" i="4" s="1"/>
  <c r="DR63" i="4"/>
  <c r="DS63" i="4" s="1"/>
  <c r="DK64" i="4"/>
  <c r="DL64" i="4" s="1"/>
  <c r="DM64" i="4"/>
  <c r="DN64" i="4" s="1"/>
  <c r="DP64" i="4"/>
  <c r="DQ64" i="4" s="1"/>
  <c r="DR64" i="4"/>
  <c r="DS64" i="4" s="1"/>
  <c r="DK65" i="4"/>
  <c r="DL65" i="4" s="1"/>
  <c r="DM65" i="4"/>
  <c r="DN65" i="4" s="1"/>
  <c r="DP65" i="4"/>
  <c r="DQ65" i="4" s="1"/>
  <c r="DR65" i="4"/>
  <c r="DS65" i="4" s="1"/>
  <c r="DI66" i="4"/>
  <c r="DJ66" i="4" s="1"/>
  <c r="DK66" i="4"/>
  <c r="DL66" i="4" s="1"/>
  <c r="DM66" i="4"/>
  <c r="DN66" i="4" s="1"/>
  <c r="DP66" i="4"/>
  <c r="DQ66" i="4" s="1"/>
  <c r="DR66" i="4"/>
  <c r="DS66" i="4" s="1"/>
  <c r="DI67" i="4"/>
  <c r="DJ67" i="4" s="1"/>
  <c r="DK67" i="4"/>
  <c r="DL67" i="4" s="1"/>
  <c r="DM67" i="4"/>
  <c r="DN67" i="4" s="1"/>
  <c r="DP67" i="4"/>
  <c r="DQ67" i="4" s="1"/>
  <c r="DR67" i="4"/>
  <c r="DS67" i="4" s="1"/>
  <c r="DI68" i="4"/>
  <c r="DJ68" i="4" s="1"/>
  <c r="DK68" i="4"/>
  <c r="DL68" i="4" s="1"/>
  <c r="DM68" i="4"/>
  <c r="DN68" i="4" s="1"/>
  <c r="DP68" i="4"/>
  <c r="DQ68" i="4" s="1"/>
  <c r="DR68" i="4"/>
  <c r="DS68" i="4" s="1"/>
  <c r="DI69" i="4"/>
  <c r="DJ69" i="4" s="1"/>
  <c r="DK69" i="4"/>
  <c r="DL69" i="4" s="1"/>
  <c r="DM69" i="4"/>
  <c r="DN69" i="4" s="1"/>
  <c r="DP69" i="4"/>
  <c r="DQ69" i="4" s="1"/>
  <c r="DR69" i="4"/>
  <c r="DS69" i="4" s="1"/>
  <c r="DK70" i="4"/>
  <c r="DL70" i="4" s="1"/>
  <c r="DM70" i="4"/>
  <c r="DN70" i="4" s="1"/>
  <c r="DR70" i="4"/>
  <c r="DS70" i="4" s="1"/>
  <c r="DI71" i="4"/>
  <c r="DJ71" i="4" s="1"/>
  <c r="DK71" i="4"/>
  <c r="DL71" i="4" s="1"/>
  <c r="DP71" i="4"/>
  <c r="DQ71" i="4" s="1"/>
  <c r="DR71" i="4"/>
  <c r="DS71" i="4" s="1"/>
  <c r="BT13" i="4"/>
  <c r="BU13" i="4"/>
  <c r="BV13" i="4"/>
  <c r="BW13" i="4"/>
  <c r="BX13" i="4"/>
  <c r="BT14" i="4"/>
  <c r="BU14" i="4"/>
  <c r="BV14" i="4"/>
  <c r="BW14" i="4"/>
  <c r="BX14" i="4"/>
  <c r="BT15" i="4"/>
  <c r="BV15" i="4"/>
  <c r="BW15" i="4"/>
  <c r="BX15" i="4"/>
  <c r="BY15" i="4"/>
  <c r="BT16" i="4"/>
  <c r="BU16" i="4"/>
  <c r="BV16" i="4"/>
  <c r="BW16" i="4"/>
  <c r="BX16" i="4"/>
  <c r="BY16" i="4"/>
  <c r="BT17" i="4"/>
  <c r="BU17" i="4"/>
  <c r="BV17" i="4"/>
  <c r="BW17" i="4"/>
  <c r="BX17" i="4"/>
  <c r="BT18" i="4"/>
  <c r="BU18" i="4"/>
  <c r="BV18" i="4"/>
  <c r="BW18" i="4"/>
  <c r="BX18" i="4"/>
  <c r="BY18" i="4"/>
  <c r="BX19" i="4"/>
  <c r="BX20" i="4"/>
  <c r="BX21" i="4"/>
  <c r="BX22" i="4"/>
  <c r="BX23" i="4"/>
  <c r="BX24" i="4"/>
  <c r="BX25" i="4"/>
  <c r="BX26" i="4"/>
  <c r="BX27" i="4"/>
  <c r="BX28" i="4"/>
  <c r="BX29" i="4"/>
  <c r="BX30" i="4"/>
  <c r="BX31" i="4"/>
  <c r="BX32" i="4"/>
  <c r="BX33" i="4"/>
  <c r="BX34" i="4"/>
  <c r="BX35" i="4"/>
  <c r="BX36" i="4"/>
  <c r="BV37" i="4"/>
  <c r="BX37" i="4"/>
  <c r="BX38" i="4"/>
  <c r="BX39" i="4"/>
  <c r="BX40" i="4"/>
  <c r="BX41" i="4"/>
  <c r="BX42" i="4"/>
  <c r="BX43" i="4"/>
  <c r="BX44" i="4"/>
  <c r="BX45" i="4"/>
  <c r="BX46" i="4"/>
  <c r="BX47" i="4"/>
  <c r="BX48" i="4"/>
  <c r="BX49" i="4"/>
  <c r="BX50" i="4"/>
  <c r="BX51" i="4"/>
  <c r="BX52" i="4"/>
  <c r="BX53" i="4"/>
  <c r="BX54" i="4"/>
  <c r="BX55" i="4"/>
  <c r="BX56" i="4"/>
  <c r="BX57" i="4"/>
  <c r="BX58" i="4"/>
  <c r="BX59" i="4"/>
  <c r="BX60" i="4"/>
  <c r="BX61" i="4"/>
  <c r="BX62" i="4"/>
  <c r="BX63" i="4"/>
  <c r="BX64" i="4"/>
  <c r="BX65" i="4"/>
  <c r="BX66" i="4"/>
  <c r="BX67" i="4"/>
  <c r="BX68" i="4"/>
  <c r="BX69" i="4"/>
  <c r="BX70" i="4"/>
  <c r="BX71" i="4"/>
  <c r="BL13" i="4"/>
  <c r="BM13" i="4"/>
  <c r="BN13" i="4"/>
  <c r="BO13" i="4"/>
  <c r="BP13" i="4"/>
  <c r="BQ13" i="4"/>
  <c r="BL14" i="4"/>
  <c r="BM14" i="4"/>
  <c r="BN14" i="4"/>
  <c r="BO14" i="4"/>
  <c r="BP14" i="4"/>
  <c r="BQ14" i="4"/>
  <c r="BJ15" i="4"/>
  <c r="BK15" i="4"/>
  <c r="BL15" i="4"/>
  <c r="BM15" i="4"/>
  <c r="BN15" i="4"/>
  <c r="BO15" i="4"/>
  <c r="BP15" i="4"/>
  <c r="BQ15" i="4"/>
  <c r="BJ16" i="4"/>
  <c r="BK16" i="4"/>
  <c r="BL16" i="4"/>
  <c r="BM16" i="4"/>
  <c r="BN16" i="4"/>
  <c r="BO16" i="4"/>
  <c r="BP16" i="4"/>
  <c r="BQ16" i="4"/>
  <c r="BL17" i="4"/>
  <c r="BM17" i="4"/>
  <c r="BN17" i="4"/>
  <c r="BO17" i="4"/>
  <c r="BP17" i="4"/>
  <c r="BQ17" i="4"/>
  <c r="BJ18" i="4"/>
  <c r="BK18" i="4"/>
  <c r="BL18" i="4"/>
  <c r="BM18" i="4"/>
  <c r="BN18" i="4"/>
  <c r="BO18" i="4"/>
  <c r="BP18" i="4"/>
  <c r="BQ18" i="4"/>
  <c r="BJ19" i="4"/>
  <c r="BK19" i="4"/>
  <c r="BL19" i="4"/>
  <c r="BM19" i="4"/>
  <c r="BN19" i="4"/>
  <c r="BO19" i="4"/>
  <c r="BP19" i="4"/>
  <c r="BQ19" i="4"/>
  <c r="BL20" i="4"/>
  <c r="BM20" i="4"/>
  <c r="BN20" i="4"/>
  <c r="BO20" i="4"/>
  <c r="BP20" i="4"/>
  <c r="BQ20" i="4"/>
  <c r="BJ21" i="4"/>
  <c r="BK21" i="4"/>
  <c r="BL21" i="4"/>
  <c r="BM21" i="4"/>
  <c r="BN21" i="4"/>
  <c r="BO21" i="4"/>
  <c r="BP21" i="4"/>
  <c r="BQ21" i="4"/>
  <c r="BL22" i="4"/>
  <c r="BM22" i="4"/>
  <c r="BN22" i="4"/>
  <c r="BO22" i="4"/>
  <c r="BP22" i="4"/>
  <c r="BQ22" i="4"/>
  <c r="BJ23" i="4"/>
  <c r="BK23" i="4"/>
  <c r="BL23" i="4"/>
  <c r="BM23" i="4"/>
  <c r="BN23" i="4"/>
  <c r="BO23" i="4"/>
  <c r="BP23" i="4"/>
  <c r="BQ23" i="4"/>
  <c r="BJ24" i="4"/>
  <c r="BK24" i="4"/>
  <c r="BJ25" i="4"/>
  <c r="BK25" i="4"/>
  <c r="BL25" i="4"/>
  <c r="BM25" i="4"/>
  <c r="BN25" i="4"/>
  <c r="BO25" i="4"/>
  <c r="BP25" i="4"/>
  <c r="BQ25" i="4"/>
  <c r="BJ26" i="4"/>
  <c r="BK26" i="4"/>
  <c r="BJ27" i="4"/>
  <c r="BK27" i="4"/>
  <c r="BL27" i="4"/>
  <c r="BM27" i="4"/>
  <c r="BN27" i="4"/>
  <c r="BO27" i="4"/>
  <c r="BP27" i="4"/>
  <c r="BQ27" i="4"/>
  <c r="BJ28" i="4"/>
  <c r="BK28" i="4"/>
  <c r="BL28" i="4"/>
  <c r="BM28" i="4"/>
  <c r="BN28" i="4"/>
  <c r="BO28" i="4"/>
  <c r="BP28" i="4"/>
  <c r="BQ28" i="4"/>
  <c r="BJ29" i="4"/>
  <c r="BK29" i="4"/>
  <c r="BJ30" i="4"/>
  <c r="BK30" i="4"/>
  <c r="BL30" i="4"/>
  <c r="BM30" i="4"/>
  <c r="BN30" i="4"/>
  <c r="BO30" i="4"/>
  <c r="BP30" i="4"/>
  <c r="BQ30" i="4"/>
  <c r="BJ31" i="4"/>
  <c r="BK31" i="4"/>
  <c r="BL31" i="4"/>
  <c r="BM31" i="4"/>
  <c r="BN31" i="4"/>
  <c r="BO31" i="4"/>
  <c r="BP31" i="4"/>
  <c r="BQ31" i="4"/>
  <c r="BJ32" i="4"/>
  <c r="BK32" i="4"/>
  <c r="BL32" i="4"/>
  <c r="BM32" i="4"/>
  <c r="BN32" i="4"/>
  <c r="BO32" i="4"/>
  <c r="BP32" i="4"/>
  <c r="BQ32" i="4"/>
  <c r="BJ33" i="4"/>
  <c r="BK33" i="4"/>
  <c r="BL33" i="4"/>
  <c r="BM33" i="4"/>
  <c r="BN33" i="4"/>
  <c r="BO33" i="4"/>
  <c r="BP33" i="4"/>
  <c r="BQ33" i="4"/>
  <c r="BJ34" i="4"/>
  <c r="BK34" i="4"/>
  <c r="BL34" i="4"/>
  <c r="BM34" i="4"/>
  <c r="BN34" i="4"/>
  <c r="BO34" i="4"/>
  <c r="BP34" i="4"/>
  <c r="BQ34" i="4"/>
  <c r="BJ35" i="4"/>
  <c r="BK35" i="4"/>
  <c r="BL35" i="4"/>
  <c r="BM35" i="4"/>
  <c r="BN35" i="4"/>
  <c r="BO35" i="4"/>
  <c r="BP35" i="4"/>
  <c r="BQ35" i="4"/>
  <c r="BJ36" i="4"/>
  <c r="BK36" i="4"/>
  <c r="BL36" i="4"/>
  <c r="BM36" i="4"/>
  <c r="BN36" i="4"/>
  <c r="BO36" i="4"/>
  <c r="BP36" i="4"/>
  <c r="BQ36" i="4"/>
  <c r="BJ37" i="4"/>
  <c r="BK37" i="4"/>
  <c r="BL37" i="4"/>
  <c r="BM37" i="4"/>
  <c r="BN37" i="4"/>
  <c r="BO37" i="4"/>
  <c r="BP37" i="4"/>
  <c r="BQ37" i="4"/>
  <c r="BJ38" i="4"/>
  <c r="BK38" i="4"/>
  <c r="BL38" i="4"/>
  <c r="BM38" i="4"/>
  <c r="BN38" i="4"/>
  <c r="BO38" i="4"/>
  <c r="BP38" i="4"/>
  <c r="BQ38" i="4"/>
  <c r="BJ39" i="4"/>
  <c r="BK39" i="4"/>
  <c r="BL39" i="4"/>
  <c r="BM39" i="4"/>
  <c r="BN39" i="4"/>
  <c r="BO39" i="4"/>
  <c r="BP39" i="4"/>
  <c r="BQ39" i="4"/>
  <c r="BJ40" i="4"/>
  <c r="BK40" i="4"/>
  <c r="BL40" i="4"/>
  <c r="BM40" i="4"/>
  <c r="BN40" i="4"/>
  <c r="BO40" i="4"/>
  <c r="BP40" i="4"/>
  <c r="BQ40" i="4"/>
  <c r="BJ41" i="4"/>
  <c r="BK41" i="4"/>
  <c r="BL41" i="4"/>
  <c r="BM41" i="4"/>
  <c r="BN41" i="4"/>
  <c r="BO41" i="4"/>
  <c r="BP41" i="4"/>
  <c r="BQ41" i="4"/>
  <c r="BJ42" i="4"/>
  <c r="BK42" i="4"/>
  <c r="BL42" i="4"/>
  <c r="BM42" i="4"/>
  <c r="BN42" i="4"/>
  <c r="BO42" i="4"/>
  <c r="BP42" i="4"/>
  <c r="BQ42" i="4"/>
  <c r="BJ43" i="4"/>
  <c r="BK43" i="4"/>
  <c r="BL43" i="4"/>
  <c r="BM43" i="4"/>
  <c r="BN43" i="4"/>
  <c r="BO43" i="4"/>
  <c r="BP43" i="4"/>
  <c r="BQ43" i="4"/>
  <c r="BJ44" i="4"/>
  <c r="BK44" i="4"/>
  <c r="BL44" i="4"/>
  <c r="BM44" i="4"/>
  <c r="BN44" i="4"/>
  <c r="BO44" i="4"/>
  <c r="BP44" i="4"/>
  <c r="BQ44" i="4"/>
  <c r="BJ45" i="4"/>
  <c r="BK45" i="4"/>
  <c r="BL45" i="4"/>
  <c r="BM45" i="4"/>
  <c r="BN45" i="4"/>
  <c r="BO45" i="4"/>
  <c r="BP45" i="4"/>
  <c r="BQ45" i="4"/>
  <c r="BJ46" i="4"/>
  <c r="BK46" i="4"/>
  <c r="BL46" i="4"/>
  <c r="BM46" i="4"/>
  <c r="BN46" i="4"/>
  <c r="BO46" i="4"/>
  <c r="BP46" i="4"/>
  <c r="BQ46" i="4"/>
  <c r="BJ47" i="4"/>
  <c r="BK47" i="4"/>
  <c r="BL47" i="4"/>
  <c r="BM47" i="4"/>
  <c r="BN47" i="4"/>
  <c r="BO47" i="4"/>
  <c r="BP47" i="4"/>
  <c r="BQ47" i="4"/>
  <c r="BJ48" i="4"/>
  <c r="BK48" i="4"/>
  <c r="BL48" i="4"/>
  <c r="BM48" i="4"/>
  <c r="BN48" i="4"/>
  <c r="BO48" i="4"/>
  <c r="BP48" i="4"/>
  <c r="BQ48" i="4"/>
  <c r="BJ49" i="4"/>
  <c r="BK49" i="4"/>
  <c r="BL49" i="4"/>
  <c r="BM49" i="4"/>
  <c r="BN49" i="4"/>
  <c r="BO49" i="4"/>
  <c r="BP49" i="4"/>
  <c r="BQ49" i="4"/>
  <c r="BJ50" i="4"/>
  <c r="BK50" i="4"/>
  <c r="BL50" i="4"/>
  <c r="BM50" i="4"/>
  <c r="BN50" i="4"/>
  <c r="BO50" i="4"/>
  <c r="BP50" i="4"/>
  <c r="BQ50" i="4"/>
  <c r="BJ51" i="4"/>
  <c r="BK51" i="4"/>
  <c r="BL51" i="4"/>
  <c r="BM51" i="4"/>
  <c r="BN51" i="4"/>
  <c r="BO51" i="4"/>
  <c r="BP51" i="4"/>
  <c r="BQ51" i="4"/>
  <c r="BJ52" i="4"/>
  <c r="BK52" i="4"/>
  <c r="BL52" i="4"/>
  <c r="BM52" i="4"/>
  <c r="BN52" i="4"/>
  <c r="BO52" i="4"/>
  <c r="BP52" i="4"/>
  <c r="BQ52" i="4"/>
  <c r="BJ53" i="4"/>
  <c r="BK53" i="4"/>
  <c r="BL53" i="4"/>
  <c r="BM53" i="4"/>
  <c r="BN53" i="4"/>
  <c r="BO53" i="4"/>
  <c r="BP53" i="4"/>
  <c r="BQ53" i="4"/>
  <c r="BJ54" i="4"/>
  <c r="BK54" i="4"/>
  <c r="BL54" i="4"/>
  <c r="BM54" i="4"/>
  <c r="BN54" i="4"/>
  <c r="BO54" i="4"/>
  <c r="BP54" i="4"/>
  <c r="BQ54" i="4"/>
  <c r="BJ55" i="4"/>
  <c r="BK55" i="4"/>
  <c r="BL55" i="4"/>
  <c r="BM55" i="4"/>
  <c r="BN55" i="4"/>
  <c r="BO55" i="4"/>
  <c r="BP55" i="4"/>
  <c r="BQ55" i="4"/>
  <c r="BJ56" i="4"/>
  <c r="BK56" i="4"/>
  <c r="BL56" i="4"/>
  <c r="BM56" i="4"/>
  <c r="BN56" i="4"/>
  <c r="BO56" i="4"/>
  <c r="BP56" i="4"/>
  <c r="BQ56" i="4"/>
  <c r="BJ57" i="4"/>
  <c r="BK57" i="4"/>
  <c r="BL57" i="4"/>
  <c r="BM57" i="4"/>
  <c r="BN57" i="4"/>
  <c r="BO57" i="4"/>
  <c r="BP57" i="4"/>
  <c r="BQ57" i="4"/>
  <c r="BJ58" i="4"/>
  <c r="BK58" i="4"/>
  <c r="BL58" i="4"/>
  <c r="BM58" i="4"/>
  <c r="BN58" i="4"/>
  <c r="BO58" i="4"/>
  <c r="BP58" i="4"/>
  <c r="BQ58" i="4"/>
  <c r="BJ59" i="4"/>
  <c r="BK59" i="4"/>
  <c r="BL59" i="4"/>
  <c r="BM59" i="4"/>
  <c r="BN59" i="4"/>
  <c r="BO59" i="4"/>
  <c r="BP59" i="4"/>
  <c r="BQ59" i="4"/>
  <c r="BJ60" i="4"/>
  <c r="BK60" i="4"/>
  <c r="BL60" i="4"/>
  <c r="BM60" i="4"/>
  <c r="BN60" i="4"/>
  <c r="BO60" i="4"/>
  <c r="BP60" i="4"/>
  <c r="BQ60" i="4"/>
  <c r="BJ61" i="4"/>
  <c r="BK61" i="4"/>
  <c r="BL61" i="4"/>
  <c r="BM61" i="4"/>
  <c r="BN61" i="4"/>
  <c r="BO61" i="4"/>
  <c r="BP61" i="4"/>
  <c r="BQ61" i="4"/>
  <c r="BJ62" i="4"/>
  <c r="BK62" i="4"/>
  <c r="BL62" i="4"/>
  <c r="BM62" i="4"/>
  <c r="BN62" i="4"/>
  <c r="BO62" i="4"/>
  <c r="BP62" i="4"/>
  <c r="BQ62" i="4"/>
  <c r="BJ63" i="4"/>
  <c r="BK63" i="4"/>
  <c r="BL63" i="4"/>
  <c r="BM63" i="4"/>
  <c r="BN63" i="4"/>
  <c r="BO63" i="4"/>
  <c r="BP63" i="4"/>
  <c r="BQ63" i="4"/>
  <c r="BJ64" i="4"/>
  <c r="BK64" i="4"/>
  <c r="BL64" i="4"/>
  <c r="BM64" i="4"/>
  <c r="BN64" i="4"/>
  <c r="BO64" i="4"/>
  <c r="BP64" i="4"/>
  <c r="BQ64" i="4"/>
  <c r="BJ65" i="4"/>
  <c r="BK65" i="4"/>
  <c r="BL65" i="4"/>
  <c r="BM65" i="4"/>
  <c r="BN65" i="4"/>
  <c r="BO65" i="4"/>
  <c r="BP65" i="4"/>
  <c r="BQ65" i="4"/>
  <c r="BJ66" i="4"/>
  <c r="BK66" i="4"/>
  <c r="BL66" i="4"/>
  <c r="BM66" i="4"/>
  <c r="BN66" i="4"/>
  <c r="BO66" i="4"/>
  <c r="BP66" i="4"/>
  <c r="BQ66" i="4"/>
  <c r="BJ67" i="4"/>
  <c r="BK67" i="4"/>
  <c r="BL67" i="4"/>
  <c r="BM67" i="4"/>
  <c r="BN67" i="4"/>
  <c r="BO67" i="4"/>
  <c r="BP67" i="4"/>
  <c r="BQ67" i="4"/>
  <c r="BJ68" i="4"/>
  <c r="BK68" i="4"/>
  <c r="BL68" i="4"/>
  <c r="BM68" i="4"/>
  <c r="BN68" i="4"/>
  <c r="BO68" i="4"/>
  <c r="BP68" i="4"/>
  <c r="BQ68" i="4"/>
  <c r="BJ69" i="4"/>
  <c r="BK69" i="4"/>
  <c r="BL69" i="4"/>
  <c r="BM69" i="4"/>
  <c r="BN69" i="4"/>
  <c r="BO69" i="4"/>
  <c r="BP69" i="4"/>
  <c r="BQ69" i="4"/>
  <c r="BJ70" i="4"/>
  <c r="BK70" i="4"/>
  <c r="BL70" i="4"/>
  <c r="BM70" i="4"/>
  <c r="BN70" i="4"/>
  <c r="BO70" i="4"/>
  <c r="BP70" i="4"/>
  <c r="BQ70" i="4"/>
  <c r="BJ71" i="4"/>
  <c r="BK71" i="4"/>
  <c r="BL71" i="4"/>
  <c r="BM71" i="4"/>
  <c r="BN71" i="4"/>
  <c r="BO71" i="4"/>
  <c r="BP71" i="4"/>
  <c r="BQ71" i="4"/>
  <c r="V136" i="3"/>
  <c r="V141" i="3"/>
  <c r="V138" i="3"/>
  <c r="L139" i="3"/>
  <c r="V140" i="3"/>
  <c r="V137" i="3"/>
  <c r="L141" i="3"/>
  <c r="L138" i="3"/>
  <c r="V139" i="3"/>
  <c r="L140" i="3"/>
  <c r="L137" i="3"/>
  <c r="L136" i="3"/>
  <c r="B137" i="3"/>
  <c r="B138" i="3"/>
  <c r="B139" i="3"/>
  <c r="B136" i="3"/>
  <c r="B150" i="3"/>
  <c r="B151" i="3"/>
  <c r="B152" i="3"/>
  <c r="B148" i="3"/>
  <c r="B149" i="3"/>
  <c r="B147" i="3"/>
  <c r="H131" i="3"/>
  <c r="AB119" i="3"/>
  <c r="G129" i="3"/>
  <c r="R127" i="3"/>
  <c r="G127" i="3"/>
  <c r="S125" i="3"/>
  <c r="E125" i="3"/>
  <c r="E123" i="3"/>
  <c r="X121" i="3"/>
  <c r="T121" i="3"/>
  <c r="E121" i="3"/>
  <c r="EX19" i="4"/>
  <c r="FA19" i="4"/>
  <c r="EX20" i="4"/>
  <c r="FA20" i="4"/>
  <c r="EX21" i="4"/>
  <c r="FA21" i="4"/>
  <c r="EX22" i="4"/>
  <c r="FA22" i="4"/>
  <c r="EX23" i="4"/>
  <c r="FA23" i="4"/>
  <c r="EX24" i="4"/>
  <c r="FA24" i="4"/>
  <c r="EX25" i="4"/>
  <c r="FA25" i="4"/>
  <c r="EX26" i="4"/>
  <c r="FA26" i="4"/>
  <c r="EX27" i="4"/>
  <c r="FA27" i="4"/>
  <c r="EX28" i="4"/>
  <c r="FA28" i="4"/>
  <c r="EX29" i="4"/>
  <c r="FA29" i="4"/>
  <c r="EX30" i="4"/>
  <c r="FA30" i="4"/>
  <c r="EX31" i="4"/>
  <c r="FA31" i="4"/>
  <c r="EX32" i="4"/>
  <c r="FA32" i="4"/>
  <c r="EX33" i="4"/>
  <c r="FA33" i="4"/>
  <c r="EX34" i="4"/>
  <c r="FA34" i="4"/>
  <c r="EX35" i="4"/>
  <c r="FA35" i="4"/>
  <c r="EX36" i="4"/>
  <c r="FA36" i="4"/>
  <c r="EX37" i="4"/>
  <c r="FA37" i="4"/>
  <c r="EX38" i="4"/>
  <c r="FA38" i="4"/>
  <c r="EX39" i="4"/>
  <c r="FA39" i="4"/>
  <c r="EX40" i="4"/>
  <c r="FA40" i="4"/>
  <c r="EX41" i="4"/>
  <c r="FA41" i="4"/>
  <c r="EX42" i="4"/>
  <c r="FA42" i="4"/>
  <c r="EX43" i="4"/>
  <c r="FA43" i="4"/>
  <c r="EX44" i="4"/>
  <c r="FA44" i="4"/>
  <c r="EX45" i="4"/>
  <c r="FA45" i="4"/>
  <c r="EX46" i="4"/>
  <c r="FA46" i="4"/>
  <c r="EX47" i="4"/>
  <c r="FA47" i="4"/>
  <c r="EX48" i="4"/>
  <c r="FA48" i="4"/>
  <c r="EX49" i="4"/>
  <c r="FA49" i="4"/>
  <c r="EX50" i="4"/>
  <c r="FA50" i="4"/>
  <c r="EX51" i="4"/>
  <c r="FA51" i="4"/>
  <c r="EX52" i="4"/>
  <c r="FA52" i="4"/>
  <c r="EX53" i="4"/>
  <c r="FA53" i="4"/>
  <c r="EX54" i="4"/>
  <c r="FA54" i="4"/>
  <c r="EX55" i="4"/>
  <c r="FA55" i="4"/>
  <c r="EX56" i="4"/>
  <c r="FA56" i="4"/>
  <c r="EX57" i="4"/>
  <c r="FA57" i="4"/>
  <c r="EX58" i="4"/>
  <c r="FA58" i="4"/>
  <c r="EX59" i="4"/>
  <c r="FA59" i="4"/>
  <c r="EX60" i="4"/>
  <c r="FA60" i="4"/>
  <c r="EX61" i="4"/>
  <c r="FA61" i="4"/>
  <c r="EX62" i="4"/>
  <c r="FA62" i="4"/>
  <c r="EX63" i="4"/>
  <c r="FA63" i="4"/>
  <c r="EX64" i="4"/>
  <c r="FA64" i="4"/>
  <c r="EX65" i="4"/>
  <c r="FA65" i="4"/>
  <c r="EX66" i="4"/>
  <c r="FA66" i="4"/>
  <c r="EX67" i="4"/>
  <c r="FA67" i="4"/>
  <c r="EX68" i="4"/>
  <c r="FA68" i="4"/>
  <c r="EX69" i="4"/>
  <c r="FA69" i="4"/>
  <c r="EX70" i="4"/>
  <c r="FA70" i="4"/>
  <c r="FA71" i="4"/>
  <c r="EX13" i="4"/>
  <c r="FA13" i="4"/>
  <c r="EX14" i="4"/>
  <c r="FA14" i="4"/>
  <c r="EX15" i="4"/>
  <c r="FA15" i="4"/>
  <c r="EX16" i="4"/>
  <c r="FA16" i="4"/>
  <c r="EX17" i="4"/>
  <c r="FA17" i="4"/>
  <c r="EX18" i="4"/>
  <c r="FA18" i="4"/>
  <c r="ER13" i="4"/>
  <c r="ER14" i="4"/>
  <c r="ER15" i="4"/>
  <c r="ER16" i="4"/>
  <c r="ER17" i="4"/>
  <c r="ER18" i="4"/>
  <c r="ER19" i="4"/>
  <c r="ER20" i="4"/>
  <c r="ER21" i="4"/>
  <c r="ER22" i="4"/>
  <c r="ER23" i="4"/>
  <c r="ER24" i="4"/>
  <c r="ER25" i="4"/>
  <c r="ER26" i="4"/>
  <c r="ER27" i="4"/>
  <c r="ER28" i="4"/>
  <c r="ER29" i="4"/>
  <c r="ER30" i="4"/>
  <c r="ER31" i="4"/>
  <c r="ER32" i="4"/>
  <c r="ER33" i="4"/>
  <c r="ER34" i="4"/>
  <c r="ER35" i="4"/>
  <c r="ER36" i="4"/>
  <c r="ER37" i="4"/>
  <c r="ER38" i="4"/>
  <c r="ER39" i="4"/>
  <c r="ER40" i="4"/>
  <c r="ER41" i="4"/>
  <c r="ER42" i="4"/>
  <c r="ER43" i="4"/>
  <c r="ER44" i="4"/>
  <c r="ER45" i="4"/>
  <c r="ER46" i="4"/>
  <c r="ER47" i="4"/>
  <c r="ER48" i="4"/>
  <c r="ER49" i="4"/>
  <c r="ER50" i="4"/>
  <c r="ER51" i="4"/>
  <c r="ER52" i="4"/>
  <c r="ER53" i="4"/>
  <c r="ER54" i="4"/>
  <c r="ER55" i="4"/>
  <c r="ER56" i="4"/>
  <c r="ER57" i="4"/>
  <c r="ER58" i="4"/>
  <c r="ER59" i="4"/>
  <c r="ER60" i="4"/>
  <c r="ER61" i="4"/>
  <c r="ER62" i="4"/>
  <c r="ER63" i="4"/>
  <c r="ER64" i="4"/>
  <c r="ER65" i="4"/>
  <c r="ER66" i="4"/>
  <c r="ER67" i="4"/>
  <c r="ER68" i="4"/>
  <c r="ER69" i="4"/>
  <c r="ER70" i="4"/>
  <c r="ER71" i="4"/>
  <c r="ER12" i="4"/>
  <c r="BA14" i="4"/>
  <c r="BA15" i="4"/>
  <c r="BA16" i="4"/>
  <c r="BA17" i="4"/>
  <c r="AZ17" i="4"/>
  <c r="AZ18" i="4"/>
  <c r="DO18" i="4" s="1"/>
  <c r="AZ19" i="4"/>
  <c r="I19" i="4" s="1"/>
  <c r="BE19" i="4" s="1"/>
  <c r="BF19" i="4" s="1"/>
  <c r="BA18" i="4"/>
  <c r="BA19" i="4"/>
  <c r="BA20" i="4"/>
  <c r="BA21" i="4"/>
  <c r="BA22" i="4"/>
  <c r="BA23" i="4"/>
  <c r="BA24" i="4"/>
  <c r="BA25" i="4"/>
  <c r="BA26" i="4"/>
  <c r="BA27" i="4"/>
  <c r="BA28" i="4"/>
  <c r="BA29" i="4"/>
  <c r="BA30" i="4"/>
  <c r="BA31" i="4"/>
  <c r="BA32" i="4"/>
  <c r="BA33" i="4"/>
  <c r="BA34" i="4"/>
  <c r="BA35" i="4"/>
  <c r="BA36" i="4"/>
  <c r="BA37" i="4"/>
  <c r="BA38" i="4"/>
  <c r="BA39" i="4"/>
  <c r="BA40" i="4"/>
  <c r="BA41" i="4"/>
  <c r="BA42" i="4"/>
  <c r="BA43" i="4"/>
  <c r="BA44" i="4"/>
  <c r="BA45" i="4"/>
  <c r="BA46" i="4"/>
  <c r="BA47" i="4"/>
  <c r="BA48" i="4"/>
  <c r="BA49" i="4"/>
  <c r="BA50" i="4"/>
  <c r="BA51" i="4"/>
  <c r="BA52" i="4"/>
  <c r="BA53" i="4"/>
  <c r="BA54" i="4"/>
  <c r="BA55" i="4"/>
  <c r="BA56" i="4"/>
  <c r="BA57" i="4"/>
  <c r="BA58" i="4"/>
  <c r="BA59" i="4"/>
  <c r="BA60" i="4"/>
  <c r="BA61" i="4"/>
  <c r="BA62" i="4"/>
  <c r="BA63" i="4"/>
  <c r="BA64" i="4"/>
  <c r="BA65" i="4"/>
  <c r="BA66" i="4"/>
  <c r="BA67" i="4"/>
  <c r="BA69" i="4"/>
  <c r="BA70" i="4"/>
  <c r="BA71" i="4"/>
  <c r="BA13" i="4"/>
  <c r="BA12" i="4"/>
  <c r="AZ21" i="4"/>
  <c r="I21" i="4" s="1"/>
  <c r="BE21" i="4" s="1"/>
  <c r="BF21" i="4" s="1"/>
  <c r="AZ22" i="4"/>
  <c r="I22" i="4" s="1"/>
  <c r="BE22" i="4" s="1"/>
  <c r="AZ23" i="4"/>
  <c r="AZ24" i="4"/>
  <c r="DO24" i="4" s="1"/>
  <c r="AZ25" i="4"/>
  <c r="I25" i="4" s="1"/>
  <c r="AZ26" i="4"/>
  <c r="I26" i="4" s="1"/>
  <c r="AZ27" i="4"/>
  <c r="I27" i="4" s="1"/>
  <c r="AZ28" i="4"/>
  <c r="I28" i="4" s="1"/>
  <c r="AZ29" i="4"/>
  <c r="I29" i="4" s="1"/>
  <c r="AZ30" i="4"/>
  <c r="AZ31" i="4"/>
  <c r="I31" i="4" s="1"/>
  <c r="AZ32" i="4"/>
  <c r="AZ33" i="4"/>
  <c r="I33" i="4" s="1"/>
  <c r="AZ38" i="4"/>
  <c r="AZ39" i="4"/>
  <c r="DO39" i="4" s="1"/>
  <c r="DR39" i="4" s="1"/>
  <c r="DS39" i="4" s="1"/>
  <c r="AZ40" i="4"/>
  <c r="I40" i="4" s="1"/>
  <c r="BE40" i="4" s="1"/>
  <c r="AZ41" i="4"/>
  <c r="I41" i="4" s="1"/>
  <c r="BE41" i="4" s="1"/>
  <c r="BF41" i="4" s="1"/>
  <c r="AZ42" i="4"/>
  <c r="AZ43" i="4"/>
  <c r="I43" i="4" s="1"/>
  <c r="AZ44" i="4"/>
  <c r="AZ45" i="4"/>
  <c r="I45" i="4" s="1"/>
  <c r="AZ46" i="4"/>
  <c r="AZ47" i="4"/>
  <c r="DO47" i="4" s="1"/>
  <c r="DR47" i="4" s="1"/>
  <c r="DS47" i="4" s="1"/>
  <c r="AZ48" i="4"/>
  <c r="I48" i="4" s="1"/>
  <c r="BE48" i="4" s="1"/>
  <c r="BW48" i="4" s="1"/>
  <c r="AZ49" i="4"/>
  <c r="I49" i="4" s="1"/>
  <c r="AZ50" i="4"/>
  <c r="AZ51" i="4"/>
  <c r="AZ52" i="4"/>
  <c r="DO52" i="4" s="1"/>
  <c r="AZ53" i="4"/>
  <c r="DO53" i="4" s="1"/>
  <c r="DR53" i="4" s="1"/>
  <c r="DS53" i="4" s="1"/>
  <c r="AZ54" i="4"/>
  <c r="AZ55" i="4"/>
  <c r="AZ56" i="4"/>
  <c r="AZ57" i="4"/>
  <c r="I57" i="4" s="1"/>
  <c r="AZ58" i="4"/>
  <c r="I58" i="4" s="1"/>
  <c r="AZ59" i="4"/>
  <c r="DO59" i="4" s="1"/>
  <c r="DR59" i="4" s="1"/>
  <c r="DS59" i="4" s="1"/>
  <c r="AZ60" i="4"/>
  <c r="I60" i="4" s="1"/>
  <c r="BE60" i="4" s="1"/>
  <c r="BS60" i="4" s="1"/>
  <c r="AZ61" i="4"/>
  <c r="I61" i="4" s="1"/>
  <c r="AZ62" i="4"/>
  <c r="DO62" i="4" s="1"/>
  <c r="DP62" i="4" s="1"/>
  <c r="DQ62" i="4" s="1"/>
  <c r="AZ63" i="4"/>
  <c r="DO63" i="4" s="1"/>
  <c r="AZ64" i="4"/>
  <c r="DO64" i="4" s="1"/>
  <c r="AZ65" i="4"/>
  <c r="DO65" i="4" s="1"/>
  <c r="AZ66" i="4"/>
  <c r="I66" i="4" s="1"/>
  <c r="AZ67" i="4"/>
  <c r="I67" i="4" s="1"/>
  <c r="BE67" i="4" s="1"/>
  <c r="BU67" i="4" s="1"/>
  <c r="AZ68" i="4"/>
  <c r="I68" i="4" s="1"/>
  <c r="BE68" i="4" s="1"/>
  <c r="BY68" i="4" s="1"/>
  <c r="AZ69" i="4"/>
  <c r="I69" i="4" s="1"/>
  <c r="AZ70" i="4"/>
  <c r="I70" i="4" s="1"/>
  <c r="BE70" i="4" s="1"/>
  <c r="BW70" i="4" s="1"/>
  <c r="AZ71" i="4"/>
  <c r="I71" i="4" s="1"/>
  <c r="AZ20" i="4"/>
  <c r="AZ14" i="4"/>
  <c r="DP70" i="4"/>
  <c r="DQ70" i="4" s="1"/>
  <c r="DM71" i="4"/>
  <c r="DN71" i="4" s="1"/>
  <c r="BJ13" i="4"/>
  <c r="BY13" i="4"/>
  <c r="BK13" i="4"/>
  <c r="BK17" i="4"/>
  <c r="BJ17" i="4"/>
  <c r="BY17" i="4"/>
  <c r="BL29" i="4"/>
  <c r="BM29" i="4"/>
  <c r="BN29" i="4"/>
  <c r="BP29" i="4"/>
  <c r="BQ29" i="4"/>
  <c r="BO29" i="4"/>
  <c r="BJ20" i="4"/>
  <c r="BK20" i="4"/>
  <c r="DR15" i="4"/>
  <c r="DS15" i="4" s="1"/>
  <c r="BK14" i="4"/>
  <c r="BJ14" i="4"/>
  <c r="BJ22" i="4"/>
  <c r="BK22" i="4"/>
  <c r="BL26" i="4"/>
  <c r="BM26" i="4"/>
  <c r="BO26" i="4"/>
  <c r="BP26" i="4"/>
  <c r="BN26" i="4"/>
  <c r="BQ26" i="4"/>
  <c r="DI70" i="4"/>
  <c r="DJ70" i="4" s="1"/>
  <c r="EL13" i="4"/>
  <c r="EL14" i="4"/>
  <c r="EL15" i="4"/>
  <c r="EL16" i="4"/>
  <c r="EL17" i="4"/>
  <c r="EL18" i="4"/>
  <c r="EL19" i="4"/>
  <c r="EL20" i="4"/>
  <c r="EL21" i="4"/>
  <c r="EL22" i="4"/>
  <c r="EL23" i="4"/>
  <c r="EL24" i="4"/>
  <c r="EL25" i="4"/>
  <c r="EL26" i="4"/>
  <c r="EL27" i="4"/>
  <c r="EL28" i="4"/>
  <c r="EL29" i="4"/>
  <c r="EL30" i="4"/>
  <c r="EL31" i="4"/>
  <c r="EL32" i="4"/>
  <c r="EL33" i="4"/>
  <c r="EL34" i="4"/>
  <c r="EL35" i="4"/>
  <c r="EL36" i="4"/>
  <c r="EL37" i="4"/>
  <c r="EL38" i="4"/>
  <c r="EL39" i="4"/>
  <c r="EL40" i="4"/>
  <c r="EL41" i="4"/>
  <c r="EL42" i="4"/>
  <c r="EL43" i="4"/>
  <c r="EL44" i="4"/>
  <c r="EL45" i="4"/>
  <c r="EL46" i="4"/>
  <c r="EL47" i="4"/>
  <c r="EL48" i="4"/>
  <c r="EL49" i="4"/>
  <c r="EL50" i="4"/>
  <c r="EL51" i="4"/>
  <c r="EL52" i="4"/>
  <c r="EL53" i="4"/>
  <c r="EL54" i="4"/>
  <c r="EL55" i="4"/>
  <c r="EL56" i="4"/>
  <c r="EL57" i="4"/>
  <c r="EL58" i="4"/>
  <c r="EL59" i="4"/>
  <c r="EL60" i="4"/>
  <c r="EL61" i="4"/>
  <c r="EL62" i="4"/>
  <c r="EL63" i="4"/>
  <c r="EL64" i="4"/>
  <c r="EL65" i="4"/>
  <c r="EL66" i="4"/>
  <c r="EL67" i="4"/>
  <c r="EL68" i="4"/>
  <c r="EL69" i="4"/>
  <c r="EL70" i="4"/>
  <c r="EL71" i="4"/>
  <c r="BY12" i="4"/>
  <c r="BW12" i="4"/>
  <c r="BV12" i="4"/>
  <c r="EK13" i="4"/>
  <c r="EK14" i="4"/>
  <c r="EK15" i="4"/>
  <c r="EK16" i="4"/>
  <c r="EK17" i="4"/>
  <c r="EK18" i="4"/>
  <c r="EK19" i="4"/>
  <c r="EK20" i="4"/>
  <c r="EK21" i="4"/>
  <c r="EK22" i="4"/>
  <c r="EK23" i="4"/>
  <c r="EK24" i="4"/>
  <c r="EK25" i="4"/>
  <c r="EK26" i="4"/>
  <c r="EK27" i="4"/>
  <c r="EK28" i="4"/>
  <c r="EK29" i="4"/>
  <c r="EK30" i="4"/>
  <c r="EK31" i="4"/>
  <c r="EK32" i="4"/>
  <c r="EK33" i="4"/>
  <c r="EK34" i="4"/>
  <c r="EK35" i="4"/>
  <c r="EK36" i="4"/>
  <c r="EK37" i="4"/>
  <c r="EK38" i="4"/>
  <c r="EK39" i="4"/>
  <c r="EK40" i="4"/>
  <c r="EK41" i="4"/>
  <c r="EK42" i="4"/>
  <c r="EK43" i="4"/>
  <c r="EK44" i="4"/>
  <c r="EK45" i="4"/>
  <c r="EK46" i="4"/>
  <c r="EK47" i="4"/>
  <c r="EK48" i="4"/>
  <c r="EK49" i="4"/>
  <c r="EK50" i="4"/>
  <c r="EK51" i="4"/>
  <c r="EK52" i="4"/>
  <c r="EK53" i="4"/>
  <c r="EK54" i="4"/>
  <c r="EK55" i="4"/>
  <c r="EK56" i="4"/>
  <c r="EK57" i="4"/>
  <c r="EK58" i="4"/>
  <c r="EK59" i="4"/>
  <c r="EK60" i="4"/>
  <c r="EK61" i="4"/>
  <c r="EK62" i="4"/>
  <c r="EK63" i="4"/>
  <c r="EK64" i="4"/>
  <c r="EK65" i="4"/>
  <c r="EK66" i="4"/>
  <c r="EK67" i="4"/>
  <c r="EK68" i="4"/>
  <c r="EK69" i="4"/>
  <c r="EK70" i="4"/>
  <c r="EK71" i="4"/>
  <c r="EH15" i="4"/>
  <c r="EH16" i="4"/>
  <c r="EH17" i="4"/>
  <c r="EH18" i="4"/>
  <c r="EH19" i="4"/>
  <c r="EH20" i="4"/>
  <c r="EH21" i="4"/>
  <c r="EH22" i="4"/>
  <c r="EH23" i="4"/>
  <c r="EH24" i="4"/>
  <c r="EH25" i="4"/>
  <c r="EH26" i="4"/>
  <c r="EH27" i="4"/>
  <c r="EH28" i="4"/>
  <c r="EH29" i="4"/>
  <c r="EH30" i="4"/>
  <c r="EH31" i="4"/>
  <c r="EH32" i="4"/>
  <c r="EH33" i="4"/>
  <c r="EH34" i="4"/>
  <c r="EH35" i="4"/>
  <c r="EH36" i="4"/>
  <c r="EH37" i="4"/>
  <c r="EH38" i="4"/>
  <c r="EH39" i="4"/>
  <c r="EH40" i="4"/>
  <c r="EH41" i="4"/>
  <c r="EH42" i="4"/>
  <c r="EH43" i="4"/>
  <c r="EH44" i="4"/>
  <c r="EH45" i="4"/>
  <c r="EH46" i="4"/>
  <c r="EH47" i="4"/>
  <c r="EH48" i="4"/>
  <c r="EH49" i="4"/>
  <c r="EH50" i="4"/>
  <c r="EH51" i="4"/>
  <c r="EH52" i="4"/>
  <c r="EH53" i="4"/>
  <c r="EH54" i="4"/>
  <c r="EH55" i="4"/>
  <c r="EH56" i="4"/>
  <c r="EH57" i="4"/>
  <c r="EH58" i="4"/>
  <c r="EH59" i="4"/>
  <c r="EH60" i="4"/>
  <c r="EH61" i="4"/>
  <c r="EH62" i="4"/>
  <c r="EH63" i="4"/>
  <c r="EH64" i="4"/>
  <c r="EH65" i="4"/>
  <c r="EH66" i="4"/>
  <c r="EH67" i="4"/>
  <c r="EH68" i="4"/>
  <c r="EH69" i="4"/>
  <c r="EH70" i="4"/>
  <c r="EH71" i="4"/>
  <c r="BJ12" i="4"/>
  <c r="BY14" i="4"/>
  <c r="BK12" i="4"/>
  <c r="BU15" i="4"/>
  <c r="BM24" i="4"/>
  <c r="BN24" i="4"/>
  <c r="BO24" i="4"/>
  <c r="BQ24" i="4"/>
  <c r="BP24" i="4"/>
  <c r="BL24" i="4"/>
  <c r="BQ12" i="4"/>
  <c r="BP12" i="4"/>
  <c r="BO12" i="4"/>
  <c r="BN12" i="4"/>
  <c r="BM12" i="4"/>
  <c r="BL12" i="4"/>
  <c r="Y4" i="3"/>
  <c r="Y3" i="3"/>
  <c r="Q4" i="3"/>
  <c r="E4" i="3"/>
  <c r="BX12" i="4"/>
  <c r="DB29" i="4"/>
  <c r="DB31" i="4"/>
  <c r="DB33" i="4"/>
  <c r="DB37" i="4"/>
  <c r="DB39" i="4"/>
  <c r="DB41" i="4"/>
  <c r="DB42" i="4"/>
  <c r="DB49" i="4"/>
  <c r="DB50" i="4"/>
  <c r="DB53" i="4"/>
  <c r="DB55" i="4"/>
  <c r="DB57" i="4"/>
  <c r="DB61" i="4"/>
  <c r="DB63" i="4"/>
  <c r="DB65" i="4"/>
  <c r="DB66" i="4"/>
  <c r="DB69" i="4"/>
  <c r="DB71" i="4"/>
  <c r="DB18" i="4"/>
  <c r="DB20" i="4"/>
  <c r="DB22" i="4"/>
  <c r="DB23" i="4"/>
  <c r="CY20" i="4"/>
  <c r="FA12" i="4"/>
  <c r="B12" i="4"/>
  <c r="CY28" i="4"/>
  <c r="CY27" i="4"/>
  <c r="DB32" i="4"/>
  <c r="CY17" i="4"/>
  <c r="CY16" i="4"/>
  <c r="DB17" i="4"/>
  <c r="DB16" i="4"/>
  <c r="CY64" i="4"/>
  <c r="CY48" i="4"/>
  <c r="CY42" i="4"/>
  <c r="DB40" i="4"/>
  <c r="CY40" i="4"/>
  <c r="DB47" i="4"/>
  <c r="CY34" i="4"/>
  <c r="CY55" i="4"/>
  <c r="CY39" i="4"/>
  <c r="DB70" i="4"/>
  <c r="DB62" i="4"/>
  <c r="CY60" i="4"/>
  <c r="CY58" i="4"/>
  <c r="CY50" i="4"/>
  <c r="CY47" i="4"/>
  <c r="CY36" i="4"/>
  <c r="CY44" i="4"/>
  <c r="CY71" i="4"/>
  <c r="CY63" i="4"/>
  <c r="CY52" i="4"/>
  <c r="CY46" i="4"/>
  <c r="CY41" i="4"/>
  <c r="CY35" i="4"/>
  <c r="CY32" i="4"/>
  <c r="CY61" i="4"/>
  <c r="CY67" i="4"/>
  <c r="CY66" i="4"/>
  <c r="CY57" i="4"/>
  <c r="CY43" i="4"/>
  <c r="CY38" i="4"/>
  <c r="CY33" i="4"/>
  <c r="CY53" i="4"/>
  <c r="CY68" i="4"/>
  <c r="CY49" i="4"/>
  <c r="CY45" i="4"/>
  <c r="CY70" i="4"/>
  <c r="CY65" i="4"/>
  <c r="CY62" i="4"/>
  <c r="CY59" i="4"/>
  <c r="DB56" i="4"/>
  <c r="CY56" i="4"/>
  <c r="CY54" i="4"/>
  <c r="CY51" i="4"/>
  <c r="CY37" i="4"/>
  <c r="DB54" i="4"/>
  <c r="DB46" i="4"/>
  <c r="DB68" i="4"/>
  <c r="DB60" i="4"/>
  <c r="DB45" i="4"/>
  <c r="DB38" i="4"/>
  <c r="DB67" i="4"/>
  <c r="DB59" i="4"/>
  <c r="DB52" i="4"/>
  <c r="DB44" i="4"/>
  <c r="DB58" i="4"/>
  <c r="DB43" i="4"/>
  <c r="DB36" i="4"/>
  <c r="DB35" i="4"/>
  <c r="DB64" i="4"/>
  <c r="DB48" i="4"/>
  <c r="CY26" i="4"/>
  <c r="DB25" i="4"/>
  <c r="CY25" i="4"/>
  <c r="DB24" i="4"/>
  <c r="DB30" i="4"/>
  <c r="CY24" i="4"/>
  <c r="CY31" i="4"/>
  <c r="CY23" i="4"/>
  <c r="DB28" i="4"/>
  <c r="CY30" i="4"/>
  <c r="CY22" i="4"/>
  <c r="DB21" i="4"/>
  <c r="CY29" i="4"/>
  <c r="CY21" i="4"/>
  <c r="DB27" i="4"/>
  <c r="CY12" i="4"/>
  <c r="DB14" i="4"/>
  <c r="CY13" i="4"/>
  <c r="CY15" i="4"/>
  <c r="CY14" i="4"/>
  <c r="CY69" i="4"/>
  <c r="CY19" i="4"/>
  <c r="DB19" i="4"/>
  <c r="CY18" i="4"/>
  <c r="DB13" i="4"/>
  <c r="DE13" i="4"/>
  <c r="DE43" i="4"/>
  <c r="DE32" i="4"/>
  <c r="DE35" i="4"/>
  <c r="DE69" i="4"/>
  <c r="EO72" i="4"/>
  <c r="DE65" i="4"/>
  <c r="DE51" i="4"/>
  <c r="DE23" i="4"/>
  <c r="EP72" i="4"/>
  <c r="DE63" i="4"/>
  <c r="DB26" i="4"/>
  <c r="DB34" i="4"/>
  <c r="DE39" i="4"/>
  <c r="DE56" i="4"/>
  <c r="DE18" i="4"/>
  <c r="DE59" i="4"/>
  <c r="DE55" i="4"/>
  <c r="DE67" i="4"/>
  <c r="DE45" i="4"/>
  <c r="DE48" i="4"/>
  <c r="DE60" i="4"/>
  <c r="DE22" i="4"/>
  <c r="DE71" i="4"/>
  <c r="DE17" i="4"/>
  <c r="DE46" i="4"/>
  <c r="DB15" i="4"/>
  <c r="DE20" i="4"/>
  <c r="DE38" i="4"/>
  <c r="DE31" i="4"/>
  <c r="DE54" i="4"/>
  <c r="DE64" i="4"/>
  <c r="DE27" i="4"/>
  <c r="DE49" i="4"/>
  <c r="DE19" i="4"/>
  <c r="DB12" i="4"/>
  <c r="DE30" i="4"/>
  <c r="DE47" i="4"/>
  <c r="DE53" i="4"/>
  <c r="DE66" i="4"/>
  <c r="DE28" i="4"/>
  <c r="DE24" i="4"/>
  <c r="DE41" i="4"/>
  <c r="DE52" i="4"/>
  <c r="DE58" i="4"/>
  <c r="DF58" i="4" s="1"/>
  <c r="DE50" i="4"/>
  <c r="DE33" i="4"/>
  <c r="DE44" i="4"/>
  <c r="DF44" i="4" s="1"/>
  <c r="DE40" i="4"/>
  <c r="DE57" i="4"/>
  <c r="DE68" i="4"/>
  <c r="DE34" i="4"/>
  <c r="DF34" i="4" s="1"/>
  <c r="DE62" i="4"/>
  <c r="DE21" i="4"/>
  <c r="DE29" i="4"/>
  <c r="DE26" i="4"/>
  <c r="DE37" i="4"/>
  <c r="DE61" i="4"/>
  <c r="DE16" i="4"/>
  <c r="DE70" i="4"/>
  <c r="DF70" i="4" s="1"/>
  <c r="DE25" i="4"/>
  <c r="DE36" i="4"/>
  <c r="DE42" i="4"/>
  <c r="DB51" i="4"/>
  <c r="DE15" i="4"/>
  <c r="DE14" i="4"/>
  <c r="DE12" i="4"/>
  <c r="H87" i="3"/>
  <c r="Q87" i="3"/>
  <c r="N87" i="3"/>
  <c r="T87" i="3"/>
  <c r="DP59" i="4" l="1"/>
  <c r="DQ59" i="4" s="1"/>
  <c r="DR62" i="4"/>
  <c r="DS62" i="4" s="1"/>
  <c r="BY19" i="4"/>
  <c r="DL63" i="8"/>
  <c r="DE63" i="8" s="1"/>
  <c r="DD63" i="8" s="1"/>
  <c r="BA63" i="8"/>
  <c r="DL39" i="8"/>
  <c r="DL41" i="8"/>
  <c r="DL44" i="8"/>
  <c r="DL49" i="8"/>
  <c r="DE49" i="8" s="1"/>
  <c r="DD49" i="8" s="1"/>
  <c r="DL36" i="8"/>
  <c r="DL38" i="8"/>
  <c r="DL42" i="8"/>
  <c r="DE42" i="8" s="1"/>
  <c r="DD42" i="8" s="1"/>
  <c r="DL57" i="8"/>
  <c r="DE57" i="8" s="1"/>
  <c r="DD57" i="8" s="1"/>
  <c r="I33" i="8"/>
  <c r="BB33" i="8" s="1"/>
  <c r="BT33" i="8" s="1"/>
  <c r="I31" i="8"/>
  <c r="BB31" i="8" s="1"/>
  <c r="BF31" i="8" s="1"/>
  <c r="I29" i="8"/>
  <c r="BB29" i="8" s="1"/>
  <c r="BE29" i="8" s="1"/>
  <c r="I27" i="8"/>
  <c r="BA27" i="8" s="1"/>
  <c r="DL23" i="8"/>
  <c r="BA23" i="8"/>
  <c r="BA21" i="8"/>
  <c r="DL19" i="8"/>
  <c r="AI19" i="8" s="1"/>
  <c r="BA19" i="8"/>
  <c r="BA17" i="8"/>
  <c r="I15" i="8"/>
  <c r="BB15" i="8" s="1"/>
  <c r="BP15" i="8" s="1"/>
  <c r="BA15" i="8"/>
  <c r="I13" i="8"/>
  <c r="BB13" i="8" s="1"/>
  <c r="BR13" i="8" s="1"/>
  <c r="BA13" i="8"/>
  <c r="DL40" i="8"/>
  <c r="DL35" i="8"/>
  <c r="DL43" i="8"/>
  <c r="DE43" i="8" s="1"/>
  <c r="DD43" i="8" s="1"/>
  <c r="DL45" i="8"/>
  <c r="DE45" i="8" s="1"/>
  <c r="DD45" i="8" s="1"/>
  <c r="DL47" i="8"/>
  <c r="DL51" i="8"/>
  <c r="DE51" i="8" s="1"/>
  <c r="DD51" i="8" s="1"/>
  <c r="DL54" i="8"/>
  <c r="DL56" i="8"/>
  <c r="DE56" i="8" s="1"/>
  <c r="DD56" i="8" s="1"/>
  <c r="I58" i="8"/>
  <c r="BA58" i="8" s="1"/>
  <c r="I32" i="8"/>
  <c r="BA32" i="8"/>
  <c r="I28" i="8"/>
  <c r="BB28" i="8" s="1"/>
  <c r="BD28" i="8" s="1"/>
  <c r="DL26" i="8"/>
  <c r="I24" i="8"/>
  <c r="BB24" i="8" s="1"/>
  <c r="BE24" i="8" s="1"/>
  <c r="I22" i="8"/>
  <c r="BB22" i="8" s="1"/>
  <c r="I20" i="8"/>
  <c r="BB20" i="8" s="1"/>
  <c r="BF20" i="8" s="1"/>
  <c r="I16" i="8"/>
  <c r="BA16" i="8"/>
  <c r="DL14" i="8"/>
  <c r="CR18" i="8"/>
  <c r="DV64" i="8"/>
  <c r="DV48" i="8"/>
  <c r="DV32" i="8"/>
  <c r="DV12" i="8"/>
  <c r="DV24" i="8"/>
  <c r="DR37" i="8"/>
  <c r="DS37" i="8" s="1"/>
  <c r="CR66" i="8"/>
  <c r="DV60" i="8"/>
  <c r="DV44" i="8"/>
  <c r="DV14" i="8"/>
  <c r="B13" i="8"/>
  <c r="B13" i="4"/>
  <c r="B14" i="4" s="1"/>
  <c r="BE19" i="8"/>
  <c r="BQ13" i="8"/>
  <c r="I40" i="8"/>
  <c r="BA40" i="8" s="1"/>
  <c r="BD19" i="8"/>
  <c r="BE15" i="8"/>
  <c r="BR19" i="8"/>
  <c r="DE14" i="8"/>
  <c r="BD15" i="8"/>
  <c r="BF15" i="8"/>
  <c r="BT19" i="8"/>
  <c r="I34" i="4"/>
  <c r="BD34" i="4" s="1"/>
  <c r="BY37" i="4"/>
  <c r="BT37" i="4"/>
  <c r="BU37" i="4"/>
  <c r="BH37" i="4"/>
  <c r="BF37" i="4"/>
  <c r="DE35" i="8"/>
  <c r="DD35" i="8" s="1"/>
  <c r="BS17" i="8"/>
  <c r="BC13" i="8"/>
  <c r="BD13" i="8"/>
  <c r="BE13" i="8"/>
  <c r="BP19" i="8"/>
  <c r="BR15" i="8"/>
  <c r="BS15" i="8"/>
  <c r="BT13" i="8"/>
  <c r="BF19" i="8"/>
  <c r="BV19" i="8"/>
  <c r="I38" i="8"/>
  <c r="BA38" i="8" s="1"/>
  <c r="I39" i="8"/>
  <c r="BB39" i="8" s="1"/>
  <c r="I26" i="8"/>
  <c r="BB26" i="8" s="1"/>
  <c r="BV26" i="8" s="1"/>
  <c r="DP36" i="4"/>
  <c r="DQ36" i="4" s="1"/>
  <c r="DP47" i="4"/>
  <c r="DQ47" i="4" s="1"/>
  <c r="DP39" i="4"/>
  <c r="DQ39" i="4" s="1"/>
  <c r="DP53" i="4"/>
  <c r="DQ53" i="4" s="1"/>
  <c r="DP52" i="4"/>
  <c r="DQ52" i="4" s="1"/>
  <c r="DR52" i="4"/>
  <c r="DS52" i="4" s="1"/>
  <c r="BW37" i="4"/>
  <c r="BS37" i="4"/>
  <c r="L103" i="10"/>
  <c r="L148" i="3"/>
  <c r="R103" i="10"/>
  <c r="X103" i="10" s="1"/>
  <c r="L149" i="3"/>
  <c r="I59" i="4"/>
  <c r="BE59" i="4" s="1"/>
  <c r="BI59" i="4" s="1"/>
  <c r="DE39" i="8"/>
  <c r="DD39" i="8" s="1"/>
  <c r="CR67" i="8"/>
  <c r="CR59" i="8"/>
  <c r="CS58" i="8" s="1"/>
  <c r="CT58" i="8" s="1"/>
  <c r="CT59" i="8" s="1"/>
  <c r="CR51" i="8"/>
  <c r="CS50" i="8" s="1"/>
  <c r="CT50" i="8" s="1"/>
  <c r="CT51" i="8" s="1"/>
  <c r="CR43" i="8"/>
  <c r="CS42" i="8" s="1"/>
  <c r="CT42" i="8" s="1"/>
  <c r="CT43" i="8" s="1"/>
  <c r="CR30" i="8"/>
  <c r="CR14" i="8"/>
  <c r="DV69" i="8"/>
  <c r="DW68" i="8" s="1"/>
  <c r="DX68" i="8" s="1"/>
  <c r="DV65" i="8"/>
  <c r="DV61" i="8"/>
  <c r="DV57" i="8"/>
  <c r="DW56" i="8" s="1"/>
  <c r="DX56" i="8" s="1"/>
  <c r="DX57" i="8" s="1"/>
  <c r="DV53" i="8"/>
  <c r="DW52" i="8" s="1"/>
  <c r="DX52" i="8" s="1"/>
  <c r="DX53" i="8" s="1"/>
  <c r="DV49" i="8"/>
  <c r="DV45" i="8"/>
  <c r="DV41" i="8"/>
  <c r="DW40" i="8" s="1"/>
  <c r="DV37" i="8"/>
  <c r="DW36" i="8" s="1"/>
  <c r="DV33" i="8"/>
  <c r="DV29" i="8"/>
  <c r="DW28" i="8" s="1"/>
  <c r="DX28" i="8" s="1"/>
  <c r="DX29" i="8" s="1"/>
  <c r="DV25" i="8"/>
  <c r="DW24" i="8" s="1"/>
  <c r="DX24" i="8" s="1"/>
  <c r="DX25" i="8" s="1"/>
  <c r="DV21" i="8"/>
  <c r="DW20" i="8" s="1"/>
  <c r="DX20" i="8" s="1"/>
  <c r="DX21" i="8" s="1"/>
  <c r="DV17" i="8"/>
  <c r="DW16" i="8" s="1"/>
  <c r="DX16" i="8" s="1"/>
  <c r="DX17" i="8" s="1"/>
  <c r="DV13" i="8"/>
  <c r="CR71" i="8"/>
  <c r="CR63" i="8"/>
  <c r="CR55" i="8"/>
  <c r="CR47" i="8"/>
  <c r="CR38" i="8"/>
  <c r="CR22" i="8"/>
  <c r="CR39" i="8"/>
  <c r="CR15" i="8"/>
  <c r="DV71" i="8"/>
  <c r="DV67" i="8"/>
  <c r="DV63" i="8"/>
  <c r="DV59" i="8"/>
  <c r="DV55" i="8"/>
  <c r="DV51" i="8"/>
  <c r="DV47" i="8"/>
  <c r="DV43" i="8"/>
  <c r="DV39" i="8"/>
  <c r="DV35" i="8"/>
  <c r="DV31" i="8"/>
  <c r="DV27" i="8"/>
  <c r="DV23" i="8"/>
  <c r="DV19" i="8"/>
  <c r="DV15" i="8"/>
  <c r="I39" i="4"/>
  <c r="BE39" i="4" s="1"/>
  <c r="BT39" i="4" s="1"/>
  <c r="EJ72" i="8"/>
  <c r="EI73" i="8" s="1"/>
  <c r="CR70" i="8"/>
  <c r="CR62" i="8"/>
  <c r="CR54" i="8"/>
  <c r="CR46" i="8"/>
  <c r="CR34" i="8"/>
  <c r="DV70" i="8"/>
  <c r="DV66" i="8"/>
  <c r="DV62" i="8"/>
  <c r="DV58" i="8"/>
  <c r="DV54" i="8"/>
  <c r="DV50" i="8"/>
  <c r="DV46" i="8"/>
  <c r="DV42" i="8"/>
  <c r="DV38" i="8"/>
  <c r="DV34" i="8"/>
  <c r="DV30" i="8"/>
  <c r="DV26" i="8"/>
  <c r="DV22" i="8"/>
  <c r="DV18" i="8"/>
  <c r="DF12" i="4"/>
  <c r="DF40" i="4"/>
  <c r="DF18" i="4"/>
  <c r="DF22" i="4"/>
  <c r="DF66" i="4"/>
  <c r="DF62" i="4"/>
  <c r="DF64" i="4"/>
  <c r="BW60" i="4"/>
  <c r="BU41" i="4"/>
  <c r="DF14" i="4"/>
  <c r="DF36" i="4"/>
  <c r="DF20" i="4"/>
  <c r="DF50" i="4"/>
  <c r="BS70" i="4"/>
  <c r="BE31" i="4"/>
  <c r="BF31" i="4" s="1"/>
  <c r="I63" i="4"/>
  <c r="BE63" i="4" s="1"/>
  <c r="BW63" i="4" s="1"/>
  <c r="DO71" i="4"/>
  <c r="BT70" i="4"/>
  <c r="EJ72" i="4"/>
  <c r="I47" i="4"/>
  <c r="BE47" i="4" s="1"/>
  <c r="BV47" i="4" s="1"/>
  <c r="DF32" i="4"/>
  <c r="BI68" i="4"/>
  <c r="BH59" i="4"/>
  <c r="BG59" i="4"/>
  <c r="BF59" i="4"/>
  <c r="BW59" i="4"/>
  <c r="BT59" i="4"/>
  <c r="BU59" i="4"/>
  <c r="BY59" i="4"/>
  <c r="BV68" i="4"/>
  <c r="BH68" i="4"/>
  <c r="BS68" i="4"/>
  <c r="BW68" i="4"/>
  <c r="BG68" i="4"/>
  <c r="BT68" i="4"/>
  <c r="BF68" i="4"/>
  <c r="BI60" i="4"/>
  <c r="BH60" i="4"/>
  <c r="BG60" i="4"/>
  <c r="BT60" i="4"/>
  <c r="BU60" i="4"/>
  <c r="BY60" i="4"/>
  <c r="BF60" i="4"/>
  <c r="BV60" i="4"/>
  <c r="BI40" i="4"/>
  <c r="BV40" i="4"/>
  <c r="BH40" i="4"/>
  <c r="BS40" i="4"/>
  <c r="BW40" i="4"/>
  <c r="BG40" i="4"/>
  <c r="BT40" i="4"/>
  <c r="BU40" i="4"/>
  <c r="BF40" i="4"/>
  <c r="BY40" i="4"/>
  <c r="EL72" i="4"/>
  <c r="BI48" i="4"/>
  <c r="BH48" i="4"/>
  <c r="BG48" i="4"/>
  <c r="BT48" i="4"/>
  <c r="BF48" i="4"/>
  <c r="BU48" i="4"/>
  <c r="BY48" i="4"/>
  <c r="BV48" i="4"/>
  <c r="BU68" i="4"/>
  <c r="BV59" i="4"/>
  <c r="BS48" i="4"/>
  <c r="BI16" i="4"/>
  <c r="BH16" i="4"/>
  <c r="BG16" i="4"/>
  <c r="DF56" i="4"/>
  <c r="DF24" i="4"/>
  <c r="DF48" i="4"/>
  <c r="DF30" i="4"/>
  <c r="DF54" i="4"/>
  <c r="DF38" i="4"/>
  <c r="BY41" i="4"/>
  <c r="BW21" i="4"/>
  <c r="BF16" i="4"/>
  <c r="FA10" i="4"/>
  <c r="BU39" i="4"/>
  <c r="BG39" i="4"/>
  <c r="BI70" i="4"/>
  <c r="BH70" i="4"/>
  <c r="BG70" i="4"/>
  <c r="BI22" i="4"/>
  <c r="BU22" i="4"/>
  <c r="BY22" i="4"/>
  <c r="BH22" i="4"/>
  <c r="BV22" i="4"/>
  <c r="BG22" i="4"/>
  <c r="BS22" i="4"/>
  <c r="BW22" i="4"/>
  <c r="BV70" i="4"/>
  <c r="BS21" i="4"/>
  <c r="BS16" i="4"/>
  <c r="BF70" i="4"/>
  <c r="DF52" i="4"/>
  <c r="BI41" i="4"/>
  <c r="BS41" i="4"/>
  <c r="BW41" i="4"/>
  <c r="BH41" i="4"/>
  <c r="BT41" i="4"/>
  <c r="BG41" i="4"/>
  <c r="BI21" i="4"/>
  <c r="BT21" i="4"/>
  <c r="BH21" i="4"/>
  <c r="BU21" i="4"/>
  <c r="BY21" i="4"/>
  <c r="BG21" i="4"/>
  <c r="BV21" i="4"/>
  <c r="BI19" i="4"/>
  <c r="BU19" i="4"/>
  <c r="BH19" i="4"/>
  <c r="BV19" i="4"/>
  <c r="BG19" i="4"/>
  <c r="BS19" i="4"/>
  <c r="BW19" i="4"/>
  <c r="BY70" i="4"/>
  <c r="BU70" i="4"/>
  <c r="BV41" i="4"/>
  <c r="BT22" i="4"/>
  <c r="BT19" i="4"/>
  <c r="BF22" i="4"/>
  <c r="EZ10" i="4"/>
  <c r="BR73" i="4"/>
  <c r="F86" i="10" s="1"/>
  <c r="X86" i="10" s="1"/>
  <c r="F150" i="10" s="1"/>
  <c r="H150" i="10" s="1"/>
  <c r="BI67" i="4"/>
  <c r="BT67" i="4"/>
  <c r="BW67" i="4"/>
  <c r="BS67" i="4"/>
  <c r="BF67" i="4"/>
  <c r="BY67" i="4"/>
  <c r="BG67" i="4"/>
  <c r="BV67" i="4"/>
  <c r="BH67" i="4"/>
  <c r="I65" i="4"/>
  <c r="BE65" i="4" s="1"/>
  <c r="DO25" i="4"/>
  <c r="DR25" i="4" s="1"/>
  <c r="DS25" i="4" s="1"/>
  <c r="BE29" i="4"/>
  <c r="BE57" i="4"/>
  <c r="Z113" i="3"/>
  <c r="I44" i="4"/>
  <c r="BE44" i="4" s="1"/>
  <c r="I64" i="4"/>
  <c r="BD64" i="4" s="1"/>
  <c r="DO31" i="4"/>
  <c r="DH31" i="4" s="1"/>
  <c r="DG31" i="4" s="1"/>
  <c r="DF42" i="4"/>
  <c r="I24" i="4"/>
  <c r="BE24" i="4" s="1"/>
  <c r="DF28" i="4"/>
  <c r="DF16" i="4"/>
  <c r="ED74" i="4"/>
  <c r="L102" i="10" s="1"/>
  <c r="DF46" i="4"/>
  <c r="DF26" i="4"/>
  <c r="DF68" i="4"/>
  <c r="ED76" i="4"/>
  <c r="R102" i="10" s="1"/>
  <c r="X102" i="10" s="1"/>
  <c r="M136" i="10" s="1"/>
  <c r="O136" i="10" s="1"/>
  <c r="DF60" i="4"/>
  <c r="I42" i="4"/>
  <c r="BE42" i="4" s="1"/>
  <c r="DO19" i="4"/>
  <c r="DY12" i="4" s="1"/>
  <c r="DO57" i="4"/>
  <c r="DH15" i="4"/>
  <c r="BE61" i="4"/>
  <c r="BE66" i="4"/>
  <c r="BE28" i="4"/>
  <c r="I52" i="4"/>
  <c r="BE52" i="4" s="1"/>
  <c r="DO28" i="4"/>
  <c r="DY21" i="4" s="1"/>
  <c r="I36" i="4"/>
  <c r="BE36" i="4" s="1"/>
  <c r="DO61" i="4"/>
  <c r="BE69" i="4"/>
  <c r="DO69" i="4"/>
  <c r="DH69" i="4" s="1"/>
  <c r="DG69" i="4" s="1"/>
  <c r="DO29" i="4"/>
  <c r="DR29" i="4" s="1"/>
  <c r="DS29" i="4" s="1"/>
  <c r="DH71" i="4"/>
  <c r="DG71" i="4" s="1"/>
  <c r="DH34" i="4"/>
  <c r="I12" i="4"/>
  <c r="BE12" i="4" s="1"/>
  <c r="I51" i="8"/>
  <c r="BB51" i="8" s="1"/>
  <c r="I63" i="8"/>
  <c r="BB63" i="8" s="1"/>
  <c r="BT22" i="8"/>
  <c r="BS22" i="8"/>
  <c r="BR22" i="8"/>
  <c r="BQ22" i="8"/>
  <c r="BF22" i="8"/>
  <c r="BE22" i="8"/>
  <c r="BD22" i="8"/>
  <c r="BC22" i="8"/>
  <c r="BV22" i="8"/>
  <c r="BP22" i="8"/>
  <c r="DL71" i="8"/>
  <c r="DE71" i="8" s="1"/>
  <c r="DD71" i="8" s="1"/>
  <c r="I71" i="8"/>
  <c r="BC20" i="8"/>
  <c r="BD31" i="8"/>
  <c r="BD20" i="8"/>
  <c r="BE21" i="8"/>
  <c r="BF26" i="8"/>
  <c r="BQ20" i="8"/>
  <c r="BS28" i="8"/>
  <c r="BT28" i="8"/>
  <c r="BP17" i="8"/>
  <c r="BF17" i="8"/>
  <c r="BR17" i="8"/>
  <c r="BQ17" i="8"/>
  <c r="BV17" i="8"/>
  <c r="BQ39" i="8"/>
  <c r="BR39" i="8"/>
  <c r="BP39" i="8"/>
  <c r="BC39" i="8"/>
  <c r="BV39" i="8"/>
  <c r="BF39" i="8"/>
  <c r="DL52" i="8"/>
  <c r="DE52" i="8" s="1"/>
  <c r="DD52" i="8" s="1"/>
  <c r="I52" i="8"/>
  <c r="BB52" i="8" s="1"/>
  <c r="I54" i="8"/>
  <c r="BB54" i="8" s="1"/>
  <c r="BB71" i="8"/>
  <c r="BC29" i="8"/>
  <c r="BC24" i="8"/>
  <c r="BD29" i="8"/>
  <c r="BD24" i="8"/>
  <c r="BE31" i="8"/>
  <c r="BE20" i="8"/>
  <c r="BF24" i="8"/>
  <c r="BP31" i="8"/>
  <c r="BP20" i="8"/>
  <c r="BQ26" i="8"/>
  <c r="BT24" i="8"/>
  <c r="BV24" i="8"/>
  <c r="DL60" i="8"/>
  <c r="DE60" i="8" s="1"/>
  <c r="DD60" i="8" s="1"/>
  <c r="I60" i="8"/>
  <c r="BA60" i="8" s="1"/>
  <c r="BQ63" i="8"/>
  <c r="BT63" i="8"/>
  <c r="BC63" i="8"/>
  <c r="BV63" i="8"/>
  <c r="BS63" i="8"/>
  <c r="BC33" i="8"/>
  <c r="BC28" i="8"/>
  <c r="BC17" i="8"/>
  <c r="BD39" i="8"/>
  <c r="BD33" i="8"/>
  <c r="BD23" i="8"/>
  <c r="BD17" i="8"/>
  <c r="BF63" i="8"/>
  <c r="BS33" i="8"/>
  <c r="BS23" i="8"/>
  <c r="BT20" i="8"/>
  <c r="BS20" i="8"/>
  <c r="BQ23" i="8"/>
  <c r="BR23" i="8"/>
  <c r="BP23" i="8"/>
  <c r="BC23" i="8"/>
  <c r="BV23" i="8"/>
  <c r="BF23" i="8"/>
  <c r="BT26" i="8"/>
  <c r="BS26" i="8"/>
  <c r="BR26" i="8"/>
  <c r="BE26" i="8"/>
  <c r="BD26" i="8"/>
  <c r="BR28" i="8"/>
  <c r="BQ28" i="8"/>
  <c r="BP28" i="8"/>
  <c r="BF28" i="8"/>
  <c r="BQ31" i="8"/>
  <c r="BT31" i="8"/>
  <c r="BC31" i="8"/>
  <c r="BV31" i="8"/>
  <c r="BS31" i="8"/>
  <c r="BP21" i="8"/>
  <c r="BF21" i="8"/>
  <c r="BV21" i="8"/>
  <c r="BT21" i="8"/>
  <c r="BS24" i="8"/>
  <c r="BR24" i="8"/>
  <c r="BQ24" i="8"/>
  <c r="BP24" i="8"/>
  <c r="BP29" i="8"/>
  <c r="BF29" i="8"/>
  <c r="BS29" i="8"/>
  <c r="BV29" i="8"/>
  <c r="BR29" i="8"/>
  <c r="BQ29" i="8"/>
  <c r="BP33" i="8"/>
  <c r="BF33" i="8"/>
  <c r="BR33" i="8"/>
  <c r="BQ33" i="8"/>
  <c r="BV33" i="8"/>
  <c r="DL30" i="8"/>
  <c r="DE30" i="8" s="1"/>
  <c r="DD30" i="8" s="1"/>
  <c r="I30" i="8"/>
  <c r="BB30" i="8" s="1"/>
  <c r="BC26" i="8"/>
  <c r="BC21" i="8"/>
  <c r="BD21" i="8"/>
  <c r="BE39" i="8"/>
  <c r="BE33" i="8"/>
  <c r="BE28" i="8"/>
  <c r="BE23" i="8"/>
  <c r="BE17" i="8"/>
  <c r="BP26" i="8"/>
  <c r="BQ21" i="8"/>
  <c r="BR63" i="8"/>
  <c r="BR31" i="8"/>
  <c r="BR20" i="8"/>
  <c r="BS21" i="8"/>
  <c r="BT29" i="8"/>
  <c r="BV28" i="8"/>
  <c r="BV20" i="8"/>
  <c r="BB32" i="8"/>
  <c r="BV15" i="8"/>
  <c r="BQ15" i="8"/>
  <c r="BP13" i="8"/>
  <c r="BF13" i="8"/>
  <c r="BC19" i="8"/>
  <c r="BC15" i="8"/>
  <c r="BS19" i="8"/>
  <c r="BS13" i="8"/>
  <c r="BT15" i="8"/>
  <c r="ES10" i="8"/>
  <c r="F36" i="3"/>
  <c r="D143" i="3" s="1"/>
  <c r="F143" i="3" s="1"/>
  <c r="EH72" i="4"/>
  <c r="I62" i="4"/>
  <c r="BE62" i="4" s="1"/>
  <c r="DO70" i="4"/>
  <c r="DH70" i="4" s="1"/>
  <c r="DG70" i="4" s="1"/>
  <c r="BD68" i="4"/>
  <c r="BD60" i="4"/>
  <c r="DO60" i="4"/>
  <c r="I56" i="4"/>
  <c r="BD56" i="4" s="1"/>
  <c r="BD48" i="4"/>
  <c r="BE58" i="4"/>
  <c r="BD71" i="4"/>
  <c r="BE71" i="4"/>
  <c r="BD67" i="4"/>
  <c r="DO67" i="4"/>
  <c r="DH67" i="4" s="1"/>
  <c r="DG67" i="4" s="1"/>
  <c r="I55" i="4"/>
  <c r="BE55" i="4" s="1"/>
  <c r="DO51" i="4"/>
  <c r="DY44" i="4" s="1"/>
  <c r="I51" i="4"/>
  <c r="BE51" i="4" s="1"/>
  <c r="BD43" i="4"/>
  <c r="BE43" i="4"/>
  <c r="BD70" i="4"/>
  <c r="BD66" i="4"/>
  <c r="BD58" i="4"/>
  <c r="I54" i="4"/>
  <c r="BE54" i="4" s="1"/>
  <c r="I35" i="4"/>
  <c r="BE35" i="4" s="1"/>
  <c r="BD69" i="4"/>
  <c r="BD61" i="4"/>
  <c r="BD57" i="4"/>
  <c r="DH65" i="4"/>
  <c r="BD40" i="4"/>
  <c r="DH64" i="4"/>
  <c r="BD37" i="4"/>
  <c r="DH63" i="4"/>
  <c r="DG63" i="4" s="1"/>
  <c r="DH59" i="4"/>
  <c r="DH47" i="4"/>
  <c r="DY32" i="4"/>
  <c r="DY64" i="4"/>
  <c r="EN72" i="4"/>
  <c r="EM73" i="4" s="1"/>
  <c r="DY46" i="4"/>
  <c r="DY66" i="4"/>
  <c r="DY69" i="4"/>
  <c r="DY60" i="4"/>
  <c r="DY55" i="4"/>
  <c r="I15" i="4"/>
  <c r="BE15" i="4" s="1"/>
  <c r="I18" i="4"/>
  <c r="BE18" i="4" s="1"/>
  <c r="DH62" i="4"/>
  <c r="F89" i="3"/>
  <c r="X89" i="3" s="1"/>
  <c r="F161" i="3" s="1"/>
  <c r="H161" i="3" s="1"/>
  <c r="DO66" i="4"/>
  <c r="DH66" i="4" s="1"/>
  <c r="DG66" i="4" s="1"/>
  <c r="DO43" i="4"/>
  <c r="DY36" i="4" s="1"/>
  <c r="DO55" i="4"/>
  <c r="DY48" i="4" s="1"/>
  <c r="DO68" i="4"/>
  <c r="DH68" i="4" s="1"/>
  <c r="DG68" i="4" s="1"/>
  <c r="DO58" i="4"/>
  <c r="DO40" i="4"/>
  <c r="EK72" i="4"/>
  <c r="EX10" i="4"/>
  <c r="ES72" i="4"/>
  <c r="Z37" i="10"/>
  <c r="DO56" i="4"/>
  <c r="DY49" i="4" s="1"/>
  <c r="FD10" i="4"/>
  <c r="DH39" i="4"/>
  <c r="BP73" i="4"/>
  <c r="F25" i="3" s="1"/>
  <c r="I20" i="4"/>
  <c r="BE20" i="4" s="1"/>
  <c r="I14" i="4"/>
  <c r="BE14" i="4" s="1"/>
  <c r="BU12" i="4"/>
  <c r="BQ83" i="4"/>
  <c r="U26" i="3" s="1"/>
  <c r="BP75" i="4"/>
  <c r="I25" i="3" s="1"/>
  <c r="BJ73" i="4"/>
  <c r="F13" i="3" s="1"/>
  <c r="R106" i="3"/>
  <c r="L106" i="3"/>
  <c r="BP77" i="4"/>
  <c r="L25" i="3" s="1"/>
  <c r="BK73" i="4"/>
  <c r="F14" i="10" s="1"/>
  <c r="BP81" i="4"/>
  <c r="R25" i="3" s="1"/>
  <c r="BP79" i="4"/>
  <c r="O25" i="10" s="1"/>
  <c r="BJ79" i="4"/>
  <c r="O13" i="10" s="1"/>
  <c r="BL73" i="4"/>
  <c r="BJ81" i="4"/>
  <c r="BO81" i="4"/>
  <c r="BV13" i="8"/>
  <c r="AA87" i="3"/>
  <c r="EN72" i="8"/>
  <c r="CR69" i="8"/>
  <c r="CR65" i="8"/>
  <c r="CR61" i="8"/>
  <c r="CR57" i="8"/>
  <c r="CR53" i="8"/>
  <c r="CR49" i="8"/>
  <c r="CR45" i="8"/>
  <c r="CR41" i="8"/>
  <c r="CR37" i="8"/>
  <c r="CR33" i="8"/>
  <c r="CR29" i="8"/>
  <c r="CR25" i="8"/>
  <c r="CR21" i="8"/>
  <c r="CR17" i="8"/>
  <c r="CR13" i="8"/>
  <c r="CR68" i="8"/>
  <c r="CR64" i="8"/>
  <c r="CR60" i="8"/>
  <c r="CR56" i="8"/>
  <c r="CR52" i="8"/>
  <c r="CR48" i="8"/>
  <c r="CR44" i="8"/>
  <c r="CR40" i="8"/>
  <c r="CR36" i="8"/>
  <c r="CR32" i="8"/>
  <c r="CR28" i="8"/>
  <c r="CR24" i="8"/>
  <c r="CR20" i="8"/>
  <c r="CR16" i="8"/>
  <c r="CR12" i="8"/>
  <c r="CR35" i="8"/>
  <c r="CR31" i="8"/>
  <c r="CR27" i="8"/>
  <c r="CS26" i="8" s="1"/>
  <c r="CT26" i="8" s="1"/>
  <c r="CT27" i="8" s="1"/>
  <c r="CR23" i="8"/>
  <c r="CR19" i="8"/>
  <c r="CS18" i="8" s="1"/>
  <c r="CT18" i="8" s="1"/>
  <c r="CT19" i="8" s="1"/>
  <c r="ER72" i="4"/>
  <c r="BP83" i="4"/>
  <c r="BJ75" i="4"/>
  <c r="BJ83" i="4"/>
  <c r="BJ77" i="4"/>
  <c r="BM81" i="4"/>
  <c r="BL75" i="4"/>
  <c r="BL77" i="4"/>
  <c r="BO75" i="4"/>
  <c r="BK83" i="4"/>
  <c r="DE38" i="8"/>
  <c r="DD38" i="8" s="1"/>
  <c r="DE41" i="8"/>
  <c r="DD41" i="8" s="1"/>
  <c r="DE47" i="8"/>
  <c r="DD47" i="8" s="1"/>
  <c r="BB27" i="8"/>
  <c r="BB38" i="8"/>
  <c r="I43" i="8"/>
  <c r="BA43" i="8" s="1"/>
  <c r="DM14" i="8"/>
  <c r="DN14" i="8" s="1"/>
  <c r="BB16" i="8"/>
  <c r="DE36" i="8"/>
  <c r="DD36" i="8" s="1"/>
  <c r="DE40" i="8"/>
  <c r="DD40" i="8" s="1"/>
  <c r="I41" i="8"/>
  <c r="BB41" i="8" s="1"/>
  <c r="I42" i="8"/>
  <c r="BB42" i="8" s="1"/>
  <c r="DE44" i="8"/>
  <c r="DD44" i="8" s="1"/>
  <c r="DE54" i="8"/>
  <c r="DD54" i="8" s="1"/>
  <c r="AI14" i="8"/>
  <c r="DL16" i="8"/>
  <c r="DE16" i="8" s="1"/>
  <c r="BM83" i="4"/>
  <c r="BL79" i="4"/>
  <c r="I13" i="4"/>
  <c r="BE13" i="4" s="1"/>
  <c r="BL83" i="4"/>
  <c r="BL81" i="4"/>
  <c r="BQ81" i="4"/>
  <c r="BN79" i="4"/>
  <c r="DY61" i="4"/>
  <c r="DY29" i="4"/>
  <c r="DY52" i="4"/>
  <c r="DY18" i="4"/>
  <c r="DY58" i="4"/>
  <c r="DY56" i="4"/>
  <c r="DY70" i="4"/>
  <c r="DY53" i="4"/>
  <c r="DY67" i="4"/>
  <c r="DY50" i="4"/>
  <c r="DY65" i="4"/>
  <c r="DY33" i="4"/>
  <c r="DY71" i="4"/>
  <c r="DY62" i="4"/>
  <c r="DY17" i="4"/>
  <c r="DY45" i="4"/>
  <c r="DY68" i="4"/>
  <c r="DY59" i="4"/>
  <c r="DY27" i="4"/>
  <c r="DY57" i="4"/>
  <c r="DY40" i="4"/>
  <c r="DY63" i="4"/>
  <c r="DY54" i="4"/>
  <c r="BK81" i="4"/>
  <c r="BQ75" i="4"/>
  <c r="BM79" i="4"/>
  <c r="BN83" i="4"/>
  <c r="BQ77" i="4"/>
  <c r="BK77" i="4"/>
  <c r="BK75" i="4"/>
  <c r="BK79" i="4"/>
  <c r="CB13" i="8"/>
  <c r="CE21" i="4"/>
  <c r="CE13" i="4"/>
  <c r="CE28" i="4"/>
  <c r="CE64" i="4"/>
  <c r="CE71" i="4"/>
  <c r="CE32" i="4"/>
  <c r="CE12" i="4"/>
  <c r="CE39" i="4"/>
  <c r="CE42" i="4"/>
  <c r="DR13" i="4"/>
  <c r="DS13" i="4" s="1"/>
  <c r="DP13" i="4"/>
  <c r="DQ13" i="4" s="1"/>
  <c r="DP12" i="4"/>
  <c r="DQ12" i="4" s="1"/>
  <c r="DR12" i="4"/>
  <c r="DS12" i="4" s="1"/>
  <c r="BE33" i="4"/>
  <c r="DO20" i="4"/>
  <c r="DP20" i="4" s="1"/>
  <c r="DQ20" i="4" s="1"/>
  <c r="BN81" i="4"/>
  <c r="DH12" i="4"/>
  <c r="DO35" i="4"/>
  <c r="DY28" i="4" s="1"/>
  <c r="DH13" i="4"/>
  <c r="BQ73" i="4"/>
  <c r="BM73" i="4"/>
  <c r="BO83" i="4"/>
  <c r="BQ79" i="4"/>
  <c r="BO79" i="4"/>
  <c r="BO77" i="4"/>
  <c r="BM77" i="4"/>
  <c r="BM75" i="4"/>
  <c r="BO73" i="4"/>
  <c r="BN75" i="4"/>
  <c r="BN77" i="4"/>
  <c r="BN73" i="4"/>
  <c r="BE27" i="4"/>
  <c r="DR18" i="4"/>
  <c r="DS18" i="4" s="1"/>
  <c r="DO54" i="4"/>
  <c r="DY47" i="4" s="1"/>
  <c r="DO50" i="4"/>
  <c r="DY43" i="4" s="1"/>
  <c r="DO38" i="4"/>
  <c r="I38" i="4"/>
  <c r="BD38" i="4" s="1"/>
  <c r="I50" i="4"/>
  <c r="BD50" i="4" s="1"/>
  <c r="I46" i="4"/>
  <c r="BE46" i="4" s="1"/>
  <c r="DP18" i="4"/>
  <c r="DQ18" i="4" s="1"/>
  <c r="DP31" i="4"/>
  <c r="DQ31" i="4" s="1"/>
  <c r="DR24" i="4"/>
  <c r="DS24" i="4" s="1"/>
  <c r="DP24" i="4"/>
  <c r="DQ24" i="4" s="1"/>
  <c r="DO46" i="4"/>
  <c r="DY39" i="4" s="1"/>
  <c r="BD14" i="4"/>
  <c r="DO14" i="4"/>
  <c r="DH14" i="4" s="1"/>
  <c r="I53" i="4"/>
  <c r="BE53" i="4" s="1"/>
  <c r="BD49" i="4"/>
  <c r="DO49" i="4"/>
  <c r="BE49" i="4"/>
  <c r="BD45" i="4"/>
  <c r="BE45" i="4"/>
  <c r="BD41" i="4"/>
  <c r="DO41" i="4"/>
  <c r="DY34" i="4" s="1"/>
  <c r="I30" i="4"/>
  <c r="BE30" i="4" s="1"/>
  <c r="BD27" i="4"/>
  <c r="DO27" i="4"/>
  <c r="DH27" i="4" s="1"/>
  <c r="DO23" i="4"/>
  <c r="DH23" i="4" s="1"/>
  <c r="CE23" i="4"/>
  <c r="DK13" i="4"/>
  <c r="DI13" i="4"/>
  <c r="DJ13" i="4" s="1"/>
  <c r="DO17" i="4"/>
  <c r="DH17" i="4" s="1"/>
  <c r="I17" i="4"/>
  <c r="BE17" i="4" s="1"/>
  <c r="I23" i="4"/>
  <c r="BE23" i="4" s="1"/>
  <c r="DO30" i="4"/>
  <c r="DH30" i="4" s="1"/>
  <c r="DO45" i="4"/>
  <c r="DO42" i="4"/>
  <c r="DY35" i="4" s="1"/>
  <c r="I32" i="4"/>
  <c r="BE32" i="4" s="1"/>
  <c r="DO32" i="4"/>
  <c r="DH32" i="4" s="1"/>
  <c r="BD26" i="4"/>
  <c r="BD22" i="4"/>
  <c r="DH18" i="4"/>
  <c r="BD16" i="4"/>
  <c r="DO16" i="4"/>
  <c r="DH16" i="4" s="1"/>
  <c r="BE26" i="4"/>
  <c r="DO22" i="4"/>
  <c r="DH22" i="4" s="1"/>
  <c r="DO26" i="4"/>
  <c r="DH26" i="4" s="1"/>
  <c r="BD33" i="4"/>
  <c r="BD31" i="4"/>
  <c r="BD29" i="4"/>
  <c r="BD25" i="4"/>
  <c r="BD21" i="4"/>
  <c r="DH53" i="4"/>
  <c r="BD19" i="4"/>
  <c r="BE25" i="4"/>
  <c r="DO33" i="4"/>
  <c r="DH33" i="4" s="1"/>
  <c r="DO21" i="4"/>
  <c r="DY14" i="4" s="1"/>
  <c r="DO44" i="4"/>
  <c r="DY37" i="4" s="1"/>
  <c r="DO48" i="4"/>
  <c r="BD28" i="4"/>
  <c r="DH52" i="4"/>
  <c r="DH36" i="4"/>
  <c r="DH24" i="4"/>
  <c r="DI15" i="4"/>
  <c r="DJ15" i="4" s="1"/>
  <c r="DM15" i="4"/>
  <c r="DN15" i="4" s="1"/>
  <c r="DO37" i="4"/>
  <c r="CE45" i="4"/>
  <c r="CE35" i="4"/>
  <c r="CE31" i="4"/>
  <c r="CE22" i="4"/>
  <c r="CE58" i="4"/>
  <c r="CB31" i="8"/>
  <c r="CB60" i="8"/>
  <c r="A17" i="7"/>
  <c r="AB1" i="8" s="1"/>
  <c r="CE29" i="4"/>
  <c r="CB14" i="8"/>
  <c r="CE16" i="4"/>
  <c r="CE15" i="4"/>
  <c r="CU15" i="4" s="1"/>
  <c r="CE18" i="4"/>
  <c r="CE14" i="4"/>
  <c r="CE38" i="4"/>
  <c r="CE66" i="4"/>
  <c r="CE47" i="4"/>
  <c r="CE59" i="4"/>
  <c r="CU59" i="4" s="1"/>
  <c r="CE63" i="4"/>
  <c r="CE53" i="4"/>
  <c r="CE57" i="4"/>
  <c r="CE40" i="4"/>
  <c r="CU40" i="4" s="1"/>
  <c r="CE26" i="4"/>
  <c r="CE34" i="4"/>
  <c r="CE48" i="4"/>
  <c r="CE56" i="4"/>
  <c r="CE37" i="4"/>
  <c r="CB21" i="8"/>
  <c r="EP72" i="8"/>
  <c r="ET72" i="4"/>
  <c r="CB23" i="8"/>
  <c r="CB17" i="8"/>
  <c r="CE52" i="4"/>
  <c r="CE70" i="4"/>
  <c r="CE62" i="4"/>
  <c r="CE69" i="4"/>
  <c r="CE41" i="4"/>
  <c r="CE68" i="4"/>
  <c r="CE36" i="4"/>
  <c r="CE67" i="4"/>
  <c r="CE55" i="4"/>
  <c r="CE51" i="4"/>
  <c r="CU51" i="4" s="1"/>
  <c r="CE44" i="4"/>
  <c r="CE54" i="4"/>
  <c r="CE30" i="4"/>
  <c r="CE20" i="4"/>
  <c r="CE25" i="4"/>
  <c r="CE17" i="4"/>
  <c r="CB29" i="8"/>
  <c r="CB27" i="8"/>
  <c r="CB33" i="8"/>
  <c r="CB28" i="8"/>
  <c r="CE50" i="4"/>
  <c r="CE65" i="4"/>
  <c r="CE61" i="4"/>
  <c r="CE49" i="4"/>
  <c r="CE60" i="4"/>
  <c r="CE43" i="4"/>
  <c r="CE46" i="4"/>
  <c r="CE19" i="4"/>
  <c r="CE24" i="4"/>
  <c r="CE33" i="4"/>
  <c r="CU33" i="4" s="1"/>
  <c r="CE27" i="4"/>
  <c r="EW44" i="8"/>
  <c r="EY44" i="8" s="1"/>
  <c r="CB30" i="8"/>
  <c r="EM52" i="8"/>
  <c r="EI51" i="8"/>
  <c r="EI50" i="8"/>
  <c r="EI49" i="8"/>
  <c r="EM44" i="8"/>
  <c r="EM40" i="8"/>
  <c r="EM39" i="8"/>
  <c r="EI38" i="8"/>
  <c r="EW37" i="8"/>
  <c r="EY37" i="8" s="1"/>
  <c r="EI35" i="8"/>
  <c r="EI68" i="8"/>
  <c r="EI62" i="8"/>
  <c r="Y2" i="8"/>
  <c r="Y2" i="4"/>
  <c r="CB36" i="8"/>
  <c r="CB43" i="8"/>
  <c r="CB49" i="8"/>
  <c r="CB51" i="8"/>
  <c r="CB58" i="8"/>
  <c r="EI65" i="8"/>
  <c r="EW64" i="8"/>
  <c r="EY64" i="8" s="1"/>
  <c r="EI56" i="8"/>
  <c r="EI55" i="8"/>
  <c r="EI54" i="8"/>
  <c r="CB18" i="8"/>
  <c r="CB22" i="8"/>
  <c r="CB38" i="8"/>
  <c r="CB45" i="8"/>
  <c r="EV68" i="8"/>
  <c r="CB25" i="8"/>
  <c r="CB12" i="8"/>
  <c r="CB15" i="8"/>
  <c r="CB16" i="8"/>
  <c r="CB19" i="8"/>
  <c r="CB20" i="8"/>
  <c r="CB24" i="8"/>
  <c r="CB26" i="8"/>
  <c r="CB34" i="8"/>
  <c r="EV62" i="8"/>
  <c r="DO26" i="8"/>
  <c r="DP26" i="8" s="1"/>
  <c r="AG26" i="8"/>
  <c r="AI26" i="8"/>
  <c r="DD14" i="8"/>
  <c r="AA14" i="8"/>
  <c r="DF14" i="8"/>
  <c r="DG14" i="8" s="1"/>
  <c r="AE14" i="8"/>
  <c r="I25" i="8"/>
  <c r="BB25" i="8" s="1"/>
  <c r="CB32" i="8"/>
  <c r="EI37" i="8"/>
  <c r="EV37" i="8"/>
  <c r="EV38" i="8"/>
  <c r="EW39" i="8"/>
  <c r="EY39" i="8" s="1"/>
  <c r="EI40" i="8"/>
  <c r="EV51" i="8"/>
  <c r="EI52" i="8"/>
  <c r="EV52" i="8"/>
  <c r="EW53" i="8"/>
  <c r="EY53" i="8" s="1"/>
  <c r="EW56" i="8"/>
  <c r="EY56" i="8" s="1"/>
  <c r="EW65" i="8"/>
  <c r="EY65" i="8" s="1"/>
  <c r="BB69" i="8"/>
  <c r="DL69" i="8"/>
  <c r="DE69" i="8" s="1"/>
  <c r="DD69" i="8" s="1"/>
  <c r="EI43" i="8"/>
  <c r="CB42" i="8"/>
  <c r="EV49" i="8"/>
  <c r="EM60" i="8"/>
  <c r="EM58" i="8"/>
  <c r="EI57" i="8"/>
  <c r="AL15" i="8"/>
  <c r="I18" i="8"/>
  <c r="BB18" i="8" s="1"/>
  <c r="AL20" i="8"/>
  <c r="EW38" i="8"/>
  <c r="EY38" i="8" s="1"/>
  <c r="EI39" i="8"/>
  <c r="EW40" i="8"/>
  <c r="EY40" i="8" s="1"/>
  <c r="EW52" i="8"/>
  <c r="EY52" i="8" s="1"/>
  <c r="EV55" i="8"/>
  <c r="EV65" i="8"/>
  <c r="EM36" i="8"/>
  <c r="DL15" i="8"/>
  <c r="DE15" i="8" s="1"/>
  <c r="I44" i="8"/>
  <c r="BA44" i="8" s="1"/>
  <c r="EI44" i="8"/>
  <c r="CB44" i="8"/>
  <c r="EI48" i="8"/>
  <c r="EW47" i="8"/>
  <c r="EY47" i="8" s="1"/>
  <c r="CF76" i="8"/>
  <c r="DW60" i="8"/>
  <c r="DX60" i="8" s="1"/>
  <c r="DX61" i="8" s="1"/>
  <c r="DL55" i="8"/>
  <c r="DE55" i="8" s="1"/>
  <c r="DD55" i="8" s="1"/>
  <c r="I55" i="8"/>
  <c r="BB55" i="8" s="1"/>
  <c r="I62" i="8"/>
  <c r="BB62" i="8" s="1"/>
  <c r="DL62" i="8"/>
  <c r="DE62" i="8" s="1"/>
  <c r="DD62" i="8" s="1"/>
  <c r="DL34" i="8"/>
  <c r="DE34" i="8" s="1"/>
  <c r="DD34" i="8" s="1"/>
  <c r="I34" i="8"/>
  <c r="BB34" i="8" s="1"/>
  <c r="DL61" i="8"/>
  <c r="DE61" i="8" s="1"/>
  <c r="DD61" i="8" s="1"/>
  <c r="I61" i="8"/>
  <c r="BA61" i="8" s="1"/>
  <c r="DO30" i="8"/>
  <c r="DP30" i="8" s="1"/>
  <c r="DM30" i="8"/>
  <c r="DN30" i="8" s="1"/>
  <c r="AG30" i="8"/>
  <c r="DM23" i="8"/>
  <c r="DN23" i="8" s="1"/>
  <c r="AI23" i="8"/>
  <c r="DL18" i="8"/>
  <c r="AG16" i="8"/>
  <c r="DM16" i="8"/>
  <c r="DN16" i="8" s="1"/>
  <c r="AI16" i="8"/>
  <c r="AI30" i="8"/>
  <c r="DL37" i="8"/>
  <c r="DE37" i="8" s="1"/>
  <c r="DD37" i="8" s="1"/>
  <c r="I37" i="8"/>
  <c r="BA37" i="8" s="1"/>
  <c r="EV39" i="8"/>
  <c r="DL48" i="8"/>
  <c r="DE48" i="8" s="1"/>
  <c r="DD48" i="8" s="1"/>
  <c r="CB48" i="8"/>
  <c r="I48" i="8"/>
  <c r="BB48" i="8" s="1"/>
  <c r="CB50" i="8"/>
  <c r="DL50" i="8"/>
  <c r="DE50" i="8" s="1"/>
  <c r="DD50" i="8" s="1"/>
  <c r="I50" i="8"/>
  <c r="BB50" i="8" s="1"/>
  <c r="I53" i="8"/>
  <c r="BA53" i="8" s="1"/>
  <c r="DL53" i="8"/>
  <c r="DE53" i="8" s="1"/>
  <c r="DD53" i="8" s="1"/>
  <c r="CB53" i="8"/>
  <c r="EW46" i="8"/>
  <c r="EY46" i="8" s="1"/>
  <c r="EM45" i="8"/>
  <c r="EI45" i="8"/>
  <c r="EI42" i="8"/>
  <c r="EW42" i="8"/>
  <c r="EY42" i="8" s="1"/>
  <c r="EI41" i="8"/>
  <c r="EW41" i="8"/>
  <c r="EY41" i="8" s="1"/>
  <c r="CB46" i="8"/>
  <c r="DL46" i="8"/>
  <c r="DE46" i="8" s="1"/>
  <c r="DD46" i="8" s="1"/>
  <c r="I46" i="8"/>
  <c r="BB46" i="8" s="1"/>
  <c r="EI70" i="8"/>
  <c r="EW70" i="8"/>
  <c r="EY70" i="8" s="1"/>
  <c r="EM64" i="8"/>
  <c r="EI64" i="8"/>
  <c r="EM63" i="8"/>
  <c r="EI63" i="8"/>
  <c r="EW63" i="8"/>
  <c r="EY63" i="8" s="1"/>
  <c r="EW43" i="8"/>
  <c r="EY43" i="8" s="1"/>
  <c r="EV44" i="8"/>
  <c r="I47" i="8"/>
  <c r="BB47" i="8" s="1"/>
  <c r="EW48" i="8"/>
  <c r="EY48" i="8" s="1"/>
  <c r="CB57" i="8"/>
  <c r="BB68" i="8"/>
  <c r="DL68" i="8"/>
  <c r="DE68" i="8" s="1"/>
  <c r="DD68" i="8" s="1"/>
  <c r="DO19" i="8"/>
  <c r="DP19" i="8" s="1"/>
  <c r="AG19" i="8"/>
  <c r="I36" i="8"/>
  <c r="BB36" i="8" s="1"/>
  <c r="CB39" i="8"/>
  <c r="BB40" i="8"/>
  <c r="CB41" i="8"/>
  <c r="BB43" i="8"/>
  <c r="I45" i="8"/>
  <c r="BB45" i="8" s="1"/>
  <c r="CB47" i="8"/>
  <c r="I49" i="8"/>
  <c r="BB49" i="8" s="1"/>
  <c r="CB52" i="8"/>
  <c r="I56" i="8"/>
  <c r="BB56" i="8" s="1"/>
  <c r="EW62" i="8"/>
  <c r="EY62" i="8" s="1"/>
  <c r="CB68" i="8"/>
  <c r="DL70" i="8"/>
  <c r="DE70" i="8" s="1"/>
  <c r="DD70" i="8" s="1"/>
  <c r="CB70" i="8"/>
  <c r="I70" i="8"/>
  <c r="BB70" i="8"/>
  <c r="EI58" i="8"/>
  <c r="EW58" i="8"/>
  <c r="EY58" i="8" s="1"/>
  <c r="EW57" i="8"/>
  <c r="EY57" i="8" s="1"/>
  <c r="EM48" i="8"/>
  <c r="EM47" i="8"/>
  <c r="EI47" i="8"/>
  <c r="EI46" i="8"/>
  <c r="EW45" i="8"/>
  <c r="EY45" i="8" s="1"/>
  <c r="EM42" i="8"/>
  <c r="CB40" i="8"/>
  <c r="EV41" i="8"/>
  <c r="EV42" i="8"/>
  <c r="EV45" i="8"/>
  <c r="EV54" i="8"/>
  <c r="I57" i="8"/>
  <c r="BA57" i="8" s="1"/>
  <c r="DL58" i="8"/>
  <c r="DE58" i="8" s="1"/>
  <c r="DD58" i="8" s="1"/>
  <c r="BB58" i="8"/>
  <c r="DL65" i="8"/>
  <c r="DE65" i="8" s="1"/>
  <c r="DD65" i="8" s="1"/>
  <c r="CB65" i="8"/>
  <c r="I65" i="8"/>
  <c r="BB65" i="8" s="1"/>
  <c r="EM68" i="8"/>
  <c r="EW68" i="8"/>
  <c r="EY68" i="8" s="1"/>
  <c r="EW55" i="8"/>
  <c r="EY55" i="8" s="1"/>
  <c r="EW54" i="8"/>
  <c r="EY54" i="8" s="1"/>
  <c r="EM53" i="8"/>
  <c r="EI53" i="8"/>
  <c r="EW51" i="8"/>
  <c r="EY51" i="8" s="1"/>
  <c r="EW49" i="8"/>
  <c r="EY49" i="8" s="1"/>
  <c r="DM26" i="8"/>
  <c r="DN26" i="8" s="1"/>
  <c r="EV46" i="8"/>
  <c r="EV47" i="8"/>
  <c r="I59" i="8"/>
  <c r="BB59" i="8" s="1"/>
  <c r="DL59" i="8"/>
  <c r="DE59" i="8" s="1"/>
  <c r="DD59" i="8" s="1"/>
  <c r="CB59" i="8"/>
  <c r="DL64" i="8"/>
  <c r="DE64" i="8" s="1"/>
  <c r="DD64" i="8" s="1"/>
  <c r="BB64" i="8"/>
  <c r="DL66" i="8"/>
  <c r="DE66" i="8" s="1"/>
  <c r="DD66" i="8" s="1"/>
  <c r="CB66" i="8"/>
  <c r="I66" i="8"/>
  <c r="BB66" i="8" s="1"/>
  <c r="I67" i="8"/>
  <c r="BB67" i="8" s="1"/>
  <c r="DL67" i="8"/>
  <c r="DE67" i="8" s="1"/>
  <c r="DD67" i="8" s="1"/>
  <c r="CB67" i="8"/>
  <c r="EV70" i="8"/>
  <c r="EM56" i="8"/>
  <c r="EM55" i="8"/>
  <c r="EM37" i="8"/>
  <c r="DL31" i="8"/>
  <c r="DE31" i="8" s="1"/>
  <c r="DL24" i="8"/>
  <c r="DE24" i="8" s="1"/>
  <c r="DH14" i="8"/>
  <c r="DI14" i="8" s="1"/>
  <c r="DJ14" i="8"/>
  <c r="DK14" i="8" s="1"/>
  <c r="AC14" i="8"/>
  <c r="DL27" i="8"/>
  <c r="DE27" i="8" s="1"/>
  <c r="DE26" i="8"/>
  <c r="DD26" i="8" s="1"/>
  <c r="DL22" i="8"/>
  <c r="DM15" i="8"/>
  <c r="DN15" i="8" s="1"/>
  <c r="DO15" i="8"/>
  <c r="DP15" i="8" s="1"/>
  <c r="EV58" i="8"/>
  <c r="EM62" i="8"/>
  <c r="EM57" i="8"/>
  <c r="EM51" i="8"/>
  <c r="EM46" i="8"/>
  <c r="EM41" i="8"/>
  <c r="EV57" i="8"/>
  <c r="EV63" i="8"/>
  <c r="EV64" i="8"/>
  <c r="EM70" i="8"/>
  <c r="EM65" i="8"/>
  <c r="EM54" i="8"/>
  <c r="EM49" i="8"/>
  <c r="EM43" i="8"/>
  <c r="EM38" i="8"/>
  <c r="I14" i="8"/>
  <c r="BB14" i="8" s="1"/>
  <c r="AL18" i="8"/>
  <c r="I12" i="8"/>
  <c r="BB12" i="8" s="1"/>
  <c r="BH73" i="8"/>
  <c r="BJ75" i="8"/>
  <c r="BK77" i="8"/>
  <c r="BN73" i="8"/>
  <c r="EE72" i="8"/>
  <c r="BG73" i="8"/>
  <c r="BH75" i="8"/>
  <c r="BI81" i="8"/>
  <c r="BJ77" i="8"/>
  <c r="BK79" i="8"/>
  <c r="AL25" i="8"/>
  <c r="AL26" i="8"/>
  <c r="AL13" i="8"/>
  <c r="AL14" i="8"/>
  <c r="AL21" i="8"/>
  <c r="AL22" i="8"/>
  <c r="AL12" i="8"/>
  <c r="AL16" i="8"/>
  <c r="AL19" i="8"/>
  <c r="AL23" i="8"/>
  <c r="AL28" i="8"/>
  <c r="AL29" i="8"/>
  <c r="AL31" i="8"/>
  <c r="EV34" i="8"/>
  <c r="DS12" i="8"/>
  <c r="AL17" i="8"/>
  <c r="AL24" i="8"/>
  <c r="AL32" i="8"/>
  <c r="DW64" i="8"/>
  <c r="DX64" i="8" s="1"/>
  <c r="DX65" i="8" s="1"/>
  <c r="AL33" i="8"/>
  <c r="BL73" i="8"/>
  <c r="BM77" i="8"/>
  <c r="BI83" i="8"/>
  <c r="BJ73" i="8"/>
  <c r="BK73" i="8"/>
  <c r="BL83" i="8"/>
  <c r="BN75" i="8"/>
  <c r="BK75" i="8"/>
  <c r="BG77" i="8"/>
  <c r="BH81" i="8"/>
  <c r="BG75" i="8"/>
  <c r="BL75" i="8"/>
  <c r="BI77" i="8"/>
  <c r="BN77" i="8"/>
  <c r="BJ79" i="8"/>
  <c r="AC30" i="8"/>
  <c r="DH26" i="8"/>
  <c r="DI26" i="8" s="1"/>
  <c r="DF26" i="8"/>
  <c r="DG26" i="8" s="1"/>
  <c r="AA26" i="8"/>
  <c r="DJ26" i="8"/>
  <c r="DK26" i="8" s="1"/>
  <c r="AC26" i="8"/>
  <c r="AE26" i="8"/>
  <c r="EW34" i="8"/>
  <c r="EY34" i="8" s="1"/>
  <c r="EI34" i="8"/>
  <c r="I35" i="8"/>
  <c r="BB35" i="8" s="1"/>
  <c r="CJ77" i="8"/>
  <c r="CB35" i="8"/>
  <c r="EW36" i="8"/>
  <c r="EY36" i="8" s="1"/>
  <c r="EV36" i="8"/>
  <c r="EI36" i="8"/>
  <c r="CJ74" i="8"/>
  <c r="CD72" i="8"/>
  <c r="CD73" i="8"/>
  <c r="CF75" i="8"/>
  <c r="EW35" i="8"/>
  <c r="EY35" i="8" s="1"/>
  <c r="EM34" i="8"/>
  <c r="CL73" i="8"/>
  <c r="DJ30" i="8"/>
  <c r="DK30" i="8" s="1"/>
  <c r="DH30" i="8"/>
  <c r="DI30" i="8" s="1"/>
  <c r="DF30" i="8"/>
  <c r="DG30" i="8" s="1"/>
  <c r="AA30" i="8"/>
  <c r="DO24" i="8"/>
  <c r="DP24" i="8" s="1"/>
  <c r="DL21" i="8"/>
  <c r="AL27" i="8"/>
  <c r="CB37" i="8"/>
  <c r="EM35" i="8"/>
  <c r="AE30" i="8"/>
  <c r="AG23" i="8"/>
  <c r="DO23" i="8"/>
  <c r="DP23" i="8" s="1"/>
  <c r="DW44" i="8"/>
  <c r="DL33" i="8"/>
  <c r="BH83" i="8"/>
  <c r="BH77" i="8"/>
  <c r="BI79" i="8"/>
  <c r="BI75" i="8"/>
  <c r="BI73" i="8"/>
  <c r="BM83" i="8"/>
  <c r="BM79" i="8"/>
  <c r="BM75" i="8"/>
  <c r="BM73" i="8"/>
  <c r="BN83" i="8"/>
  <c r="BN81" i="8"/>
  <c r="BN79" i="8"/>
  <c r="BM81" i="8"/>
  <c r="DL20" i="8"/>
  <c r="DL17" i="8"/>
  <c r="DL12" i="8"/>
  <c r="BG83" i="8"/>
  <c r="BG81" i="8"/>
  <c r="BG79" i="8"/>
  <c r="BK81" i="8"/>
  <c r="BL79" i="8"/>
  <c r="BL81" i="8"/>
  <c r="BL77" i="8"/>
  <c r="DL32" i="8"/>
  <c r="DL28" i="8"/>
  <c r="DE23" i="8"/>
  <c r="DJ15" i="8"/>
  <c r="DK15" i="8" s="1"/>
  <c r="DH15" i="8"/>
  <c r="DI15" i="8" s="1"/>
  <c r="AA15" i="8"/>
  <c r="DM31" i="8"/>
  <c r="DN31" i="8" s="1"/>
  <c r="DL29" i="8"/>
  <c r="DE19" i="8"/>
  <c r="DM19" i="8"/>
  <c r="DN19" i="8" s="1"/>
  <c r="DO16" i="8"/>
  <c r="DP16" i="8" s="1"/>
  <c r="DL13" i="8"/>
  <c r="DL25" i="8"/>
  <c r="BH79" i="8"/>
  <c r="BJ83" i="8"/>
  <c r="BJ81" i="8"/>
  <c r="BK83" i="8"/>
  <c r="EH72" i="8"/>
  <c r="EU10" i="8"/>
  <c r="EG72" i="8"/>
  <c r="A146" i="3"/>
  <c r="EM67" i="8"/>
  <c r="EW67" i="8"/>
  <c r="EY67" i="8" s="1"/>
  <c r="EV67" i="8"/>
  <c r="EI67" i="8"/>
  <c r="CF77" i="8"/>
  <c r="CF74" i="8"/>
  <c r="CF73" i="8"/>
  <c r="EV35" i="8"/>
  <c r="EV40" i="8"/>
  <c r="EV43" i="8"/>
  <c r="EV48" i="8"/>
  <c r="EV53" i="8"/>
  <c r="EV56" i="8"/>
  <c r="CB64" i="8"/>
  <c r="CB63" i="8"/>
  <c r="CB56" i="8"/>
  <c r="CB55" i="8"/>
  <c r="CB54" i="8"/>
  <c r="CB62" i="8"/>
  <c r="CB61" i="8"/>
  <c r="EM69" i="8"/>
  <c r="EW69" i="8"/>
  <c r="EY69" i="8" s="1"/>
  <c r="EV69" i="8"/>
  <c r="EI69" i="8"/>
  <c r="CD76" i="8"/>
  <c r="CD75" i="8"/>
  <c r="CD77" i="8"/>
  <c r="CD74" i="8"/>
  <c r="CB71" i="8"/>
  <c r="EM59" i="8"/>
  <c r="EW59" i="8"/>
  <c r="EY59" i="8" s="1"/>
  <c r="EV59" i="8"/>
  <c r="EI59" i="8"/>
  <c r="CL76" i="8"/>
  <c r="CL75" i="8"/>
  <c r="CL77" i="8"/>
  <c r="CL74" i="8"/>
  <c r="EW71" i="8"/>
  <c r="EY71" i="8" s="1"/>
  <c r="EV71" i="8"/>
  <c r="EI71" i="8"/>
  <c r="EM71" i="8"/>
  <c r="EM66" i="8"/>
  <c r="EW66" i="8"/>
  <c r="EY66" i="8" s="1"/>
  <c r="EV66" i="8"/>
  <c r="EI66" i="8"/>
  <c r="EM61" i="8"/>
  <c r="EW61" i="8"/>
  <c r="EY61" i="8" s="1"/>
  <c r="EV61" i="8"/>
  <c r="EI61" i="8"/>
  <c r="EW60" i="8"/>
  <c r="EY60" i="8" s="1"/>
  <c r="EV60" i="8"/>
  <c r="EI60" i="8"/>
  <c r="EM50" i="8"/>
  <c r="EW50" i="8"/>
  <c r="EY50" i="8" s="1"/>
  <c r="EV50" i="8"/>
  <c r="CH77" i="8"/>
  <c r="CH74" i="8"/>
  <c r="CH73" i="8"/>
  <c r="CH76" i="8"/>
  <c r="CH75" i="8"/>
  <c r="CJ73" i="8"/>
  <c r="CJ76" i="8"/>
  <c r="CJ75" i="8"/>
  <c r="CB69" i="8"/>
  <c r="DH61" i="4" l="1"/>
  <c r="DK61" i="4" s="1"/>
  <c r="DL61" i="4" s="1"/>
  <c r="DR61" i="4"/>
  <c r="DS61" i="4" s="1"/>
  <c r="DP61" i="4"/>
  <c r="DQ61" i="4" s="1"/>
  <c r="BS59" i="4"/>
  <c r="BB44" i="8"/>
  <c r="BA22" i="8"/>
  <c r="BA26" i="8"/>
  <c r="BA30" i="8"/>
  <c r="BA54" i="8"/>
  <c r="BA47" i="8"/>
  <c r="BA31" i="8"/>
  <c r="BA49" i="8"/>
  <c r="BA41" i="8"/>
  <c r="BA14" i="8"/>
  <c r="BA18" i="8"/>
  <c r="BA50" i="8"/>
  <c r="BA46" i="8"/>
  <c r="BA34" i="8"/>
  <c r="BA20" i="8"/>
  <c r="BA24" i="8"/>
  <c r="BA28" i="8"/>
  <c r="BA56" i="8"/>
  <c r="BA51" i="8"/>
  <c r="BA45" i="8"/>
  <c r="BA35" i="8"/>
  <c r="BA48" i="8"/>
  <c r="BA29" i="8"/>
  <c r="BA33" i="8"/>
  <c r="BA42" i="8"/>
  <c r="BA59" i="8"/>
  <c r="BA39" i="8"/>
  <c r="BA62" i="8"/>
  <c r="BA25" i="8"/>
  <c r="BA55" i="8"/>
  <c r="BA36" i="8"/>
  <c r="BA52" i="8"/>
  <c r="DW14" i="8"/>
  <c r="DX14" i="8" s="1"/>
  <c r="DX15" i="8" s="1"/>
  <c r="DW32" i="8"/>
  <c r="DW48" i="8"/>
  <c r="DW12" i="8"/>
  <c r="DX12" i="8" s="1"/>
  <c r="DX13" i="8" s="1"/>
  <c r="CS66" i="8"/>
  <c r="CT66" i="8" s="1"/>
  <c r="CT67" i="8" s="1"/>
  <c r="BB60" i="8"/>
  <c r="B14" i="8"/>
  <c r="B15" i="8"/>
  <c r="DG61" i="4"/>
  <c r="DM61" i="4"/>
  <c r="DN61" i="4" s="1"/>
  <c r="DG62" i="4"/>
  <c r="DI62" i="4"/>
  <c r="DJ62" i="4" s="1"/>
  <c r="DK62" i="4"/>
  <c r="DL62" i="4" s="1"/>
  <c r="DM62" i="4"/>
  <c r="DN62" i="4" s="1"/>
  <c r="BD44" i="4"/>
  <c r="BD24" i="4"/>
  <c r="BE34" i="4"/>
  <c r="BD59" i="4"/>
  <c r="BD52" i="4"/>
  <c r="BV39" i="4"/>
  <c r="BI39" i="4"/>
  <c r="BW39" i="4"/>
  <c r="BH39" i="4"/>
  <c r="BH31" i="4"/>
  <c r="BF39" i="4"/>
  <c r="BS39" i="4"/>
  <c r="BY39" i="4"/>
  <c r="BB37" i="8"/>
  <c r="BT39" i="8"/>
  <c r="BS39" i="8"/>
  <c r="CU17" i="4"/>
  <c r="CU18" i="4"/>
  <c r="CU39" i="4"/>
  <c r="AD10" i="4"/>
  <c r="AI9" i="4"/>
  <c r="AH10" i="4"/>
  <c r="Z10" i="4"/>
  <c r="AE7" i="4"/>
  <c r="AA5" i="4"/>
  <c r="AJ10" i="4"/>
  <c r="AB10" i="4"/>
  <c r="AG9" i="4"/>
  <c r="AF10" i="4"/>
  <c r="DI31" i="4"/>
  <c r="DJ31" i="4" s="1"/>
  <c r="DP29" i="4"/>
  <c r="DQ29" i="4" s="1"/>
  <c r="DR31" i="4"/>
  <c r="DS31" i="4" s="1"/>
  <c r="DH50" i="4"/>
  <c r="DG50" i="4" s="1"/>
  <c r="DR20" i="4"/>
  <c r="DS20" i="4" s="1"/>
  <c r="DW50" i="8"/>
  <c r="DX50" i="8" s="1"/>
  <c r="DX51" i="8" s="1"/>
  <c r="DY15" i="4"/>
  <c r="DZ14" i="4" s="1"/>
  <c r="EA14" i="4" s="1"/>
  <c r="DY25" i="4"/>
  <c r="DY22" i="4"/>
  <c r="DM31" i="4"/>
  <c r="DN31" i="4" s="1"/>
  <c r="DY24" i="4"/>
  <c r="DY23" i="4"/>
  <c r="DH37" i="4"/>
  <c r="AE37" i="4" s="1"/>
  <c r="DP37" i="4"/>
  <c r="DQ37" i="4" s="1"/>
  <c r="DR37" i="4"/>
  <c r="DS37" i="4" s="1"/>
  <c r="DG36" i="4"/>
  <c r="DM36" i="4"/>
  <c r="DN36" i="4" s="1"/>
  <c r="DK36" i="4"/>
  <c r="DL36" i="4" s="1"/>
  <c r="DI36" i="4"/>
  <c r="DJ36" i="4" s="1"/>
  <c r="DH48" i="4"/>
  <c r="AC48" i="4" s="1"/>
  <c r="DP48" i="4"/>
  <c r="DQ48" i="4" s="1"/>
  <c r="DR48" i="4"/>
  <c r="DS48" i="4" s="1"/>
  <c r="DH45" i="4"/>
  <c r="AC45" i="4" s="1"/>
  <c r="DP45" i="4"/>
  <c r="DQ45" i="4" s="1"/>
  <c r="DR45" i="4"/>
  <c r="DS45" i="4" s="1"/>
  <c r="DH49" i="4"/>
  <c r="AA49" i="4" s="1"/>
  <c r="DP49" i="4"/>
  <c r="DQ49" i="4" s="1"/>
  <c r="DR49" i="4"/>
  <c r="DS49" i="4" s="1"/>
  <c r="DH38" i="4"/>
  <c r="AE38" i="4" s="1"/>
  <c r="DP38" i="4"/>
  <c r="DQ38" i="4" s="1"/>
  <c r="DR38" i="4"/>
  <c r="DS38" i="4" s="1"/>
  <c r="DY42" i="4"/>
  <c r="DY30" i="4"/>
  <c r="DY41" i="4"/>
  <c r="DZ40" i="4" s="1"/>
  <c r="EA40" i="4" s="1"/>
  <c r="DG39" i="4"/>
  <c r="DI39" i="4"/>
  <c r="DJ39" i="4" s="1"/>
  <c r="DK39" i="4"/>
  <c r="DL39" i="4" s="1"/>
  <c r="DM39" i="4"/>
  <c r="DN39" i="4" s="1"/>
  <c r="DH55" i="4"/>
  <c r="AA55" i="4" s="1"/>
  <c r="DR55" i="4"/>
  <c r="DS55" i="4" s="1"/>
  <c r="DP55" i="4"/>
  <c r="DQ55" i="4" s="1"/>
  <c r="DG59" i="4"/>
  <c r="DI59" i="4"/>
  <c r="DJ59" i="4" s="1"/>
  <c r="DM59" i="4"/>
  <c r="DN59" i="4" s="1"/>
  <c r="DK59" i="4"/>
  <c r="DL59" i="4" s="1"/>
  <c r="DG34" i="4"/>
  <c r="DM34" i="4"/>
  <c r="DN34" i="4" s="1"/>
  <c r="DK34" i="4"/>
  <c r="DL34" i="4" s="1"/>
  <c r="DI34" i="4"/>
  <c r="DJ34" i="4" s="1"/>
  <c r="DH25" i="4"/>
  <c r="DM25" i="4" s="1"/>
  <c r="DN25" i="4" s="1"/>
  <c r="DP25" i="4"/>
  <c r="DQ25" i="4" s="1"/>
  <c r="DG52" i="4"/>
  <c r="DI52" i="4"/>
  <c r="DJ52" i="4" s="1"/>
  <c r="DK52" i="4"/>
  <c r="DL52" i="4" s="1"/>
  <c r="DM52" i="4"/>
  <c r="DN52" i="4" s="1"/>
  <c r="DH44" i="4"/>
  <c r="AC44" i="4" s="1"/>
  <c r="DP44" i="4"/>
  <c r="DQ44" i="4" s="1"/>
  <c r="DR44" i="4"/>
  <c r="DS44" i="4" s="1"/>
  <c r="DK31" i="4"/>
  <c r="DL31" i="4" s="1"/>
  <c r="DH46" i="4"/>
  <c r="AC46" i="4" s="1"/>
  <c r="DP46" i="4"/>
  <c r="DQ46" i="4" s="1"/>
  <c r="DR46" i="4"/>
  <c r="DS46" i="4" s="1"/>
  <c r="DP50" i="4"/>
  <c r="DQ50" i="4" s="1"/>
  <c r="DR50" i="4"/>
  <c r="DS50" i="4" s="1"/>
  <c r="DY26" i="4"/>
  <c r="DZ26" i="4" s="1"/>
  <c r="EA26" i="4" s="1"/>
  <c r="DH40" i="4"/>
  <c r="DP40" i="4"/>
  <c r="DQ40" i="4" s="1"/>
  <c r="DR40" i="4"/>
  <c r="DS40" i="4" s="1"/>
  <c r="DH43" i="4"/>
  <c r="AE43" i="4" s="1"/>
  <c r="DR43" i="4"/>
  <c r="DS43" i="4" s="1"/>
  <c r="DP43" i="4"/>
  <c r="DQ43" i="4" s="1"/>
  <c r="DH51" i="4"/>
  <c r="AC51" i="4" s="1"/>
  <c r="DR51" i="4"/>
  <c r="DS51" i="4" s="1"/>
  <c r="DP51" i="4"/>
  <c r="DQ51" i="4" s="1"/>
  <c r="DH60" i="4"/>
  <c r="AC60" i="4" s="1"/>
  <c r="DR60" i="4"/>
  <c r="DS60" i="4" s="1"/>
  <c r="DP60" i="4"/>
  <c r="DQ60" i="4" s="1"/>
  <c r="DH57" i="4"/>
  <c r="AA57" i="4" s="1"/>
  <c r="DP57" i="4"/>
  <c r="DQ57" i="4" s="1"/>
  <c r="DR57" i="4"/>
  <c r="DS57" i="4" s="1"/>
  <c r="DW30" i="8"/>
  <c r="DX30" i="8" s="1"/>
  <c r="DW46" i="8"/>
  <c r="DW62" i="8"/>
  <c r="DX62" i="8" s="1"/>
  <c r="DX63" i="8" s="1"/>
  <c r="DY20" i="4"/>
  <c r="DZ20" i="4" s="1"/>
  <c r="EA20" i="4" s="1"/>
  <c r="DY13" i="4"/>
  <c r="DZ12" i="4" s="1"/>
  <c r="EA12" i="4" s="1"/>
  <c r="DH58" i="4"/>
  <c r="AE58" i="4" s="1"/>
  <c r="DP58" i="4"/>
  <c r="DQ58" i="4" s="1"/>
  <c r="DR58" i="4"/>
  <c r="DS58" i="4" s="1"/>
  <c r="DY16" i="4"/>
  <c r="DZ16" i="4" s="1"/>
  <c r="EA16" i="4" s="1"/>
  <c r="DY51" i="4"/>
  <c r="DZ50" i="4" s="1"/>
  <c r="EA50" i="4" s="1"/>
  <c r="DR19" i="4"/>
  <c r="DS19" i="4" s="1"/>
  <c r="DP19" i="4"/>
  <c r="DQ19" i="4" s="1"/>
  <c r="DW66" i="8"/>
  <c r="DX66" i="8" s="1"/>
  <c r="DX67" i="8" s="1"/>
  <c r="DG53" i="4"/>
  <c r="DM53" i="4"/>
  <c r="DN53" i="4" s="1"/>
  <c r="DI53" i="4"/>
  <c r="DJ53" i="4" s="1"/>
  <c r="DK53" i="4"/>
  <c r="DL53" i="4" s="1"/>
  <c r="DH54" i="4"/>
  <c r="DP54" i="4"/>
  <c r="DQ54" i="4" s="1"/>
  <c r="DR54" i="4"/>
  <c r="DS54" i="4" s="1"/>
  <c r="DH42" i="4"/>
  <c r="AA42" i="4" s="1"/>
  <c r="DP42" i="4"/>
  <c r="DQ42" i="4" s="1"/>
  <c r="DR42" i="4"/>
  <c r="DS42" i="4" s="1"/>
  <c r="DH41" i="4"/>
  <c r="AA41" i="4" s="1"/>
  <c r="DP41" i="4"/>
  <c r="DQ41" i="4" s="1"/>
  <c r="DR41" i="4"/>
  <c r="DS41" i="4" s="1"/>
  <c r="DH35" i="4"/>
  <c r="AA35" i="4" s="1"/>
  <c r="DP35" i="4"/>
  <c r="DQ35" i="4" s="1"/>
  <c r="DR35" i="4"/>
  <c r="DS35" i="4" s="1"/>
  <c r="DY31" i="4"/>
  <c r="DY19" i="4"/>
  <c r="DZ18" i="4" s="1"/>
  <c r="EA18" i="4" s="1"/>
  <c r="DY38" i="4"/>
  <c r="DZ38" i="4" s="1"/>
  <c r="EA38" i="4" s="1"/>
  <c r="DH56" i="4"/>
  <c r="AA56" i="4" s="1"/>
  <c r="DP56" i="4"/>
  <c r="DQ56" i="4" s="1"/>
  <c r="DR56" i="4"/>
  <c r="DS56" i="4" s="1"/>
  <c r="DG47" i="4"/>
  <c r="DI47" i="4"/>
  <c r="DJ47" i="4" s="1"/>
  <c r="DK47" i="4"/>
  <c r="DL47" i="4" s="1"/>
  <c r="DM47" i="4"/>
  <c r="DN47" i="4" s="1"/>
  <c r="DP28" i="4"/>
  <c r="DQ28" i="4" s="1"/>
  <c r="DR28" i="4"/>
  <c r="DS28" i="4" s="1"/>
  <c r="BT31" i="4"/>
  <c r="BI31" i="4"/>
  <c r="BW31" i="4"/>
  <c r="BV31" i="4"/>
  <c r="BD20" i="4"/>
  <c r="BD18" i="4"/>
  <c r="BD47" i="4"/>
  <c r="BD13" i="4"/>
  <c r="BD39" i="4"/>
  <c r="DW18" i="8"/>
  <c r="DX18" i="8" s="1"/>
  <c r="DX19" i="8" s="1"/>
  <c r="DW34" i="8"/>
  <c r="CS54" i="8"/>
  <c r="CT54" i="8" s="1"/>
  <c r="CT55" i="8" s="1"/>
  <c r="CS62" i="8"/>
  <c r="CT62" i="8" s="1"/>
  <c r="CT63" i="8" s="1"/>
  <c r="DW38" i="8"/>
  <c r="DW54" i="8"/>
  <c r="DX54" i="8" s="1"/>
  <c r="DX55" i="8" s="1"/>
  <c r="DW70" i="8"/>
  <c r="DW22" i="8"/>
  <c r="DX22" i="8" s="1"/>
  <c r="DX23" i="8" s="1"/>
  <c r="CS38" i="8"/>
  <c r="CT38" i="8" s="1"/>
  <c r="CT39" i="8" s="1"/>
  <c r="DW26" i="8"/>
  <c r="DX26" i="8" s="1"/>
  <c r="DX27" i="8" s="1"/>
  <c r="DW42" i="8"/>
  <c r="DW58" i="8"/>
  <c r="DX58" i="8" s="1"/>
  <c r="DX59" i="8" s="1"/>
  <c r="CS34" i="8"/>
  <c r="CT34" i="8" s="1"/>
  <c r="CT35" i="8" s="1"/>
  <c r="CS22" i="8"/>
  <c r="CT22" i="8" s="1"/>
  <c r="CT23" i="8" s="1"/>
  <c r="CS70" i="8"/>
  <c r="CT70" i="8" s="1"/>
  <c r="CT71" i="8" s="1"/>
  <c r="CS14" i="8"/>
  <c r="CT14" i="8" s="1"/>
  <c r="CT15" i="8" s="1"/>
  <c r="CS46" i="8"/>
  <c r="CT46" i="8" s="1"/>
  <c r="CT47" i="8" s="1"/>
  <c r="CS30" i="8"/>
  <c r="CT30" i="8" s="1"/>
  <c r="CT31" i="8" s="1"/>
  <c r="DH29" i="4"/>
  <c r="DG29" i="4" s="1"/>
  <c r="X106" i="3"/>
  <c r="BS31" i="4"/>
  <c r="BY31" i="4"/>
  <c r="BU47" i="4"/>
  <c r="BG31" i="4"/>
  <c r="BU31" i="4"/>
  <c r="BF47" i="4"/>
  <c r="BE38" i="4"/>
  <c r="BI38" i="4" s="1"/>
  <c r="BD62" i="4"/>
  <c r="BD63" i="4"/>
  <c r="BU63" i="4"/>
  <c r="BT47" i="4"/>
  <c r="BG47" i="4"/>
  <c r="H85" i="10"/>
  <c r="BW47" i="4"/>
  <c r="BH47" i="4"/>
  <c r="L105" i="3"/>
  <c r="BY47" i="4"/>
  <c r="BS47" i="4"/>
  <c r="BI47" i="4"/>
  <c r="Q88" i="3"/>
  <c r="BD42" i="4"/>
  <c r="BI63" i="4"/>
  <c r="BF63" i="4"/>
  <c r="BT63" i="4"/>
  <c r="BH63" i="4"/>
  <c r="BY63" i="4"/>
  <c r="BG63" i="4"/>
  <c r="BV63" i="4"/>
  <c r="BS63" i="4"/>
  <c r="H88" i="3"/>
  <c r="BI24" i="4"/>
  <c r="BT24" i="4"/>
  <c r="BH24" i="4"/>
  <c r="BU24" i="4"/>
  <c r="BY24" i="4"/>
  <c r="BG24" i="4"/>
  <c r="BV24" i="4"/>
  <c r="BS24" i="4"/>
  <c r="BW24" i="4"/>
  <c r="BF24" i="4"/>
  <c r="CU19" i="4"/>
  <c r="CV18" i="4" s="1"/>
  <c r="CW18" i="4" s="1"/>
  <c r="AG19" i="4"/>
  <c r="AI19" i="4"/>
  <c r="AI49" i="4"/>
  <c r="AG49" i="4"/>
  <c r="AC49" i="4"/>
  <c r="AG54" i="4"/>
  <c r="AI54" i="4"/>
  <c r="AC54" i="4"/>
  <c r="AG69" i="4"/>
  <c r="AA69" i="4"/>
  <c r="AI69" i="4"/>
  <c r="AC69" i="4"/>
  <c r="AE69" i="4"/>
  <c r="CU34" i="4"/>
  <c r="AG34" i="4"/>
  <c r="AA34" i="4"/>
  <c r="AI34" i="4"/>
  <c r="AC34" i="4"/>
  <c r="AE34" i="4"/>
  <c r="CU53" i="4"/>
  <c r="AA53" i="4"/>
  <c r="AI53" i="4"/>
  <c r="AG53" i="4"/>
  <c r="AC53" i="4"/>
  <c r="AE53" i="4"/>
  <c r="CU66" i="4"/>
  <c r="AC66" i="4"/>
  <c r="AE66" i="4"/>
  <c r="AG66" i="4"/>
  <c r="AI66" i="4"/>
  <c r="AA66" i="4"/>
  <c r="CU22" i="4"/>
  <c r="AG22" i="4"/>
  <c r="AA22" i="4"/>
  <c r="AI22" i="4"/>
  <c r="AE22" i="4"/>
  <c r="AC22" i="4"/>
  <c r="BI25" i="4"/>
  <c r="BU25" i="4"/>
  <c r="BY25" i="4"/>
  <c r="BH25" i="4"/>
  <c r="BV25" i="4"/>
  <c r="BG25" i="4"/>
  <c r="BS25" i="4"/>
  <c r="BW25" i="4"/>
  <c r="BF25" i="4"/>
  <c r="BT25" i="4"/>
  <c r="BU38" i="4"/>
  <c r="BI23" i="4"/>
  <c r="BW23" i="4"/>
  <c r="BH23" i="4"/>
  <c r="BT23" i="4"/>
  <c r="BG23" i="4"/>
  <c r="BU23" i="4"/>
  <c r="BY23" i="4"/>
  <c r="BS23" i="4"/>
  <c r="BV23" i="4"/>
  <c r="BF23" i="4"/>
  <c r="BI45" i="4"/>
  <c r="BH45" i="4"/>
  <c r="BG45" i="4"/>
  <c r="BU45" i="4"/>
  <c r="BY45" i="4"/>
  <c r="BV45" i="4"/>
  <c r="BF45" i="4"/>
  <c r="BS45" i="4"/>
  <c r="BW45" i="4"/>
  <c r="BT45" i="4"/>
  <c r="BI46" i="4"/>
  <c r="BH46" i="4"/>
  <c r="BG46" i="4"/>
  <c r="BV46" i="4"/>
  <c r="BF46" i="4"/>
  <c r="BS46" i="4"/>
  <c r="BW46" i="4"/>
  <c r="BT46" i="4"/>
  <c r="BU46" i="4"/>
  <c r="BY46" i="4"/>
  <c r="BI33" i="4"/>
  <c r="BS33" i="4"/>
  <c r="BW33" i="4"/>
  <c r="BH33" i="4"/>
  <c r="BT33" i="4"/>
  <c r="BG33" i="4"/>
  <c r="BU33" i="4"/>
  <c r="BY33" i="4"/>
  <c r="BF33" i="4"/>
  <c r="BV33" i="4"/>
  <c r="CU32" i="4"/>
  <c r="CV32" i="4" s="1"/>
  <c r="CW32" i="4" s="1"/>
  <c r="AC32" i="4"/>
  <c r="AE32" i="4"/>
  <c r="AA32" i="4"/>
  <c r="AG32" i="4"/>
  <c r="AI32" i="4"/>
  <c r="CU54" i="4"/>
  <c r="BI54" i="4"/>
  <c r="BH54" i="4"/>
  <c r="BG54" i="4"/>
  <c r="BV54" i="4"/>
  <c r="BF54" i="4"/>
  <c r="BS54" i="4"/>
  <c r="BW54" i="4"/>
  <c r="BT54" i="4"/>
  <c r="BU54" i="4"/>
  <c r="BY54" i="4"/>
  <c r="BI51" i="4"/>
  <c r="BH51" i="4"/>
  <c r="BG51" i="4"/>
  <c r="BF51" i="4"/>
  <c r="BS51" i="4"/>
  <c r="BW51" i="4"/>
  <c r="BT51" i="4"/>
  <c r="BU51" i="4"/>
  <c r="BY51" i="4"/>
  <c r="BV51" i="4"/>
  <c r="BI52" i="4"/>
  <c r="BH52" i="4"/>
  <c r="BG52" i="4"/>
  <c r="BT52" i="4"/>
  <c r="BU52" i="4"/>
  <c r="BY52" i="4"/>
  <c r="BV52" i="4"/>
  <c r="BF52" i="4"/>
  <c r="BW52" i="4"/>
  <c r="BS52" i="4"/>
  <c r="BI36" i="4"/>
  <c r="BV36" i="4"/>
  <c r="BH36" i="4"/>
  <c r="BS36" i="4"/>
  <c r="BW36" i="4"/>
  <c r="BG36" i="4"/>
  <c r="BT36" i="4"/>
  <c r="BU36" i="4"/>
  <c r="BY36" i="4"/>
  <c r="BF36" i="4"/>
  <c r="BV66" i="4"/>
  <c r="BF66" i="4"/>
  <c r="BS66" i="4"/>
  <c r="BW66" i="4"/>
  <c r="BI66" i="4"/>
  <c r="BT66" i="4"/>
  <c r="BH66" i="4"/>
  <c r="BU66" i="4"/>
  <c r="BG66" i="4"/>
  <c r="BY66" i="4"/>
  <c r="CU27" i="4"/>
  <c r="AE27" i="4"/>
  <c r="AG27" i="4"/>
  <c r="AC27" i="4"/>
  <c r="AA27" i="4"/>
  <c r="AI27" i="4"/>
  <c r="CU46" i="4"/>
  <c r="AG46" i="4"/>
  <c r="AA46" i="4"/>
  <c r="AI46" i="4"/>
  <c r="CU61" i="4"/>
  <c r="AA61" i="4"/>
  <c r="AI61" i="4"/>
  <c r="AG61" i="4"/>
  <c r="AC61" i="4"/>
  <c r="AE61" i="4"/>
  <c r="CU25" i="4"/>
  <c r="AI25" i="4"/>
  <c r="AG25" i="4"/>
  <c r="CU44" i="4"/>
  <c r="AI44" i="4"/>
  <c r="AE44" i="4"/>
  <c r="AG44" i="4"/>
  <c r="CU36" i="4"/>
  <c r="AC36" i="4"/>
  <c r="AE36" i="4"/>
  <c r="AA36" i="4"/>
  <c r="AG36" i="4"/>
  <c r="AI36" i="4"/>
  <c r="CU62" i="4"/>
  <c r="AG62" i="4"/>
  <c r="AA62" i="4"/>
  <c r="AI62" i="4"/>
  <c r="AC62" i="4"/>
  <c r="AE62" i="4"/>
  <c r="CU37" i="4"/>
  <c r="AI37" i="4"/>
  <c r="AG37" i="4"/>
  <c r="CU26" i="4"/>
  <c r="AG26" i="4"/>
  <c r="AA26" i="4"/>
  <c r="AI26" i="4"/>
  <c r="AC26" i="4"/>
  <c r="AE26" i="4"/>
  <c r="CU63" i="4"/>
  <c r="AE63" i="4"/>
  <c r="AC63" i="4"/>
  <c r="AG63" i="4"/>
  <c r="AA63" i="4"/>
  <c r="AI63" i="4"/>
  <c r="CU38" i="4"/>
  <c r="AG38" i="4"/>
  <c r="AI38" i="4"/>
  <c r="AE31" i="4"/>
  <c r="AG31" i="4"/>
  <c r="AA31" i="4"/>
  <c r="AI31" i="4"/>
  <c r="AC31" i="4"/>
  <c r="BI26" i="4"/>
  <c r="BV26" i="4"/>
  <c r="BH26" i="4"/>
  <c r="BS26" i="4"/>
  <c r="BW26" i="4"/>
  <c r="BG26" i="4"/>
  <c r="BT26" i="4"/>
  <c r="BF26" i="4"/>
  <c r="BU26" i="4"/>
  <c r="BY26" i="4"/>
  <c r="BI32" i="4"/>
  <c r="BV32" i="4"/>
  <c r="BH32" i="4"/>
  <c r="BS32" i="4"/>
  <c r="BW32" i="4"/>
  <c r="BG32" i="4"/>
  <c r="BT32" i="4"/>
  <c r="BY32" i="4"/>
  <c r="BF32" i="4"/>
  <c r="BU32" i="4"/>
  <c r="BI17" i="4"/>
  <c r="BH17" i="4"/>
  <c r="BG17" i="4"/>
  <c r="BS17" i="4"/>
  <c r="BF17" i="4"/>
  <c r="BI53" i="4"/>
  <c r="BH53" i="4"/>
  <c r="BG53" i="4"/>
  <c r="BU53" i="4"/>
  <c r="BY53" i="4"/>
  <c r="BV53" i="4"/>
  <c r="BF53" i="4"/>
  <c r="BS53" i="4"/>
  <c r="BW53" i="4"/>
  <c r="BT53" i="4"/>
  <c r="BI34" i="4"/>
  <c r="BT34" i="4"/>
  <c r="BH34" i="4"/>
  <c r="BU34" i="4"/>
  <c r="BY34" i="4"/>
  <c r="BG34" i="4"/>
  <c r="BV34" i="4"/>
  <c r="BF34" i="4"/>
  <c r="BS34" i="4"/>
  <c r="BW34" i="4"/>
  <c r="BI27" i="4"/>
  <c r="BS27" i="4"/>
  <c r="BH27" i="4"/>
  <c r="BT27" i="4"/>
  <c r="BY27" i="4"/>
  <c r="BG27" i="4"/>
  <c r="BV27" i="4"/>
  <c r="BW27" i="4"/>
  <c r="BF27" i="4"/>
  <c r="BU27" i="4"/>
  <c r="CU42" i="4"/>
  <c r="AG42" i="4"/>
  <c r="AI42" i="4"/>
  <c r="CU71" i="4"/>
  <c r="AC71" i="4"/>
  <c r="AE71" i="4"/>
  <c r="AG71" i="4"/>
  <c r="AA71" i="4"/>
  <c r="AI71" i="4"/>
  <c r="CU21" i="4"/>
  <c r="AI21" i="4"/>
  <c r="AG21" i="4"/>
  <c r="Q85" i="10"/>
  <c r="BI18" i="4"/>
  <c r="BH18" i="4"/>
  <c r="BG18" i="4"/>
  <c r="BF18" i="4"/>
  <c r="BS18" i="4"/>
  <c r="BI35" i="4"/>
  <c r="BU35" i="4"/>
  <c r="BY35" i="4"/>
  <c r="BH35" i="4"/>
  <c r="BV35" i="4"/>
  <c r="BG35" i="4"/>
  <c r="BS35" i="4"/>
  <c r="BW35" i="4"/>
  <c r="BT35" i="4"/>
  <c r="BF35" i="4"/>
  <c r="BI43" i="4"/>
  <c r="BH43" i="4"/>
  <c r="BG43" i="4"/>
  <c r="BF43" i="4"/>
  <c r="BS43" i="4"/>
  <c r="BW43" i="4"/>
  <c r="BV43" i="4"/>
  <c r="BT43" i="4"/>
  <c r="BU43" i="4"/>
  <c r="BY43" i="4"/>
  <c r="BI58" i="4"/>
  <c r="BH58" i="4"/>
  <c r="BG58" i="4"/>
  <c r="BV58" i="4"/>
  <c r="BF58" i="4"/>
  <c r="BS58" i="4"/>
  <c r="BW58" i="4"/>
  <c r="BT58" i="4"/>
  <c r="BY58" i="4"/>
  <c r="BU58" i="4"/>
  <c r="BG12" i="4"/>
  <c r="BS12" i="4"/>
  <c r="BI12" i="4"/>
  <c r="BF12" i="4"/>
  <c r="BH12" i="4"/>
  <c r="BV61" i="4"/>
  <c r="BH61" i="4"/>
  <c r="BW61" i="4"/>
  <c r="BI61" i="4"/>
  <c r="BT61" i="4"/>
  <c r="BG61" i="4"/>
  <c r="BS61" i="4"/>
  <c r="BF61" i="4"/>
  <c r="BU61" i="4"/>
  <c r="BY61" i="4"/>
  <c r="BI42" i="4"/>
  <c r="BT42" i="4"/>
  <c r="BH42" i="4"/>
  <c r="BU42" i="4"/>
  <c r="BG42" i="4"/>
  <c r="BV42" i="4"/>
  <c r="BS42" i="4"/>
  <c r="BY42" i="4"/>
  <c r="BF42" i="4"/>
  <c r="BW42" i="4"/>
  <c r="BI57" i="4"/>
  <c r="BH57" i="4"/>
  <c r="BG57" i="4"/>
  <c r="BU57" i="4"/>
  <c r="BY57" i="4"/>
  <c r="BV57" i="4"/>
  <c r="BF57" i="4"/>
  <c r="BS57" i="4"/>
  <c r="BW57" i="4"/>
  <c r="BT57" i="4"/>
  <c r="BF13" i="4"/>
  <c r="BH13" i="4"/>
  <c r="BG13" i="4"/>
  <c r="BI13" i="4"/>
  <c r="BS13" i="4"/>
  <c r="BH14" i="4"/>
  <c r="BG14" i="4"/>
  <c r="BF14" i="4"/>
  <c r="BS14" i="4"/>
  <c r="BI14" i="4"/>
  <c r="T85" i="10"/>
  <c r="N88" i="3"/>
  <c r="BI15" i="4"/>
  <c r="BH15" i="4"/>
  <c r="BS15" i="4"/>
  <c r="BG15" i="4"/>
  <c r="BF15" i="4"/>
  <c r="BD35" i="4"/>
  <c r="BI55" i="4"/>
  <c r="BH55" i="4"/>
  <c r="BG55" i="4"/>
  <c r="BF55" i="4"/>
  <c r="BS55" i="4"/>
  <c r="BW55" i="4"/>
  <c r="BT55" i="4"/>
  <c r="BU55" i="4"/>
  <c r="BY55" i="4"/>
  <c r="BV55" i="4"/>
  <c r="BI69" i="4"/>
  <c r="BH69" i="4"/>
  <c r="BG69" i="4"/>
  <c r="BS69" i="4"/>
  <c r="BW69" i="4"/>
  <c r="BT69" i="4"/>
  <c r="BF69" i="4"/>
  <c r="BU69" i="4"/>
  <c r="BY69" i="4"/>
  <c r="BV69" i="4"/>
  <c r="BI44" i="4"/>
  <c r="BH44" i="4"/>
  <c r="BG44" i="4"/>
  <c r="BT44" i="4"/>
  <c r="BU44" i="4"/>
  <c r="BY44" i="4"/>
  <c r="BF44" i="4"/>
  <c r="BS44" i="4"/>
  <c r="BV44" i="4"/>
  <c r="BW44" i="4"/>
  <c r="BI29" i="4"/>
  <c r="BV29" i="4"/>
  <c r="BH29" i="4"/>
  <c r="BS29" i="4"/>
  <c r="BG29" i="4"/>
  <c r="BT29" i="4"/>
  <c r="BY29" i="4"/>
  <c r="BU29" i="4"/>
  <c r="BF29" i="4"/>
  <c r="BW29" i="4"/>
  <c r="AA33" i="4"/>
  <c r="AI33" i="4"/>
  <c r="AC33" i="4"/>
  <c r="AG33" i="4"/>
  <c r="AE33" i="4"/>
  <c r="AG43" i="4"/>
  <c r="AI43" i="4"/>
  <c r="AI20" i="4"/>
  <c r="AG20" i="4"/>
  <c r="AE51" i="4"/>
  <c r="AG51" i="4"/>
  <c r="AI51" i="4"/>
  <c r="CU68" i="4"/>
  <c r="AA68" i="4"/>
  <c r="AI68" i="4"/>
  <c r="AC68" i="4"/>
  <c r="AE68" i="4"/>
  <c r="AG68" i="4"/>
  <c r="CU70" i="4"/>
  <c r="AE70" i="4"/>
  <c r="AG70" i="4"/>
  <c r="AA70" i="4"/>
  <c r="AI70" i="4"/>
  <c r="AC70" i="4"/>
  <c r="CU56" i="4"/>
  <c r="AI56" i="4"/>
  <c r="AG56" i="4"/>
  <c r="AA40" i="4"/>
  <c r="AG40" i="4"/>
  <c r="AI40" i="4"/>
  <c r="AE59" i="4"/>
  <c r="AG59" i="4"/>
  <c r="AA59" i="4"/>
  <c r="AI59" i="4"/>
  <c r="AC59" i="4"/>
  <c r="CU35" i="4"/>
  <c r="AG35" i="4"/>
  <c r="AI35" i="4"/>
  <c r="BI49" i="4"/>
  <c r="BH49" i="4"/>
  <c r="BG49" i="4"/>
  <c r="BU49" i="4"/>
  <c r="BY49" i="4"/>
  <c r="BV49" i="4"/>
  <c r="BF49" i="4"/>
  <c r="BS49" i="4"/>
  <c r="BW49" i="4"/>
  <c r="BT49" i="4"/>
  <c r="AE39" i="4"/>
  <c r="AG39" i="4"/>
  <c r="AA39" i="4"/>
  <c r="AI39" i="4"/>
  <c r="AC39" i="4"/>
  <c r="CU24" i="4"/>
  <c r="AC24" i="4"/>
  <c r="AE24" i="4"/>
  <c r="AA24" i="4"/>
  <c r="AG24" i="4"/>
  <c r="AI24" i="4"/>
  <c r="CU60" i="4"/>
  <c r="AI60" i="4"/>
  <c r="AG60" i="4"/>
  <c r="CU50" i="4"/>
  <c r="CV50" i="4" s="1"/>
  <c r="CW50" i="4" s="1"/>
  <c r="AG50" i="4"/>
  <c r="AA50" i="4"/>
  <c r="AI50" i="4"/>
  <c r="CU30" i="4"/>
  <c r="AG30" i="4"/>
  <c r="AA30" i="4"/>
  <c r="AI30" i="4"/>
  <c r="AE30" i="4"/>
  <c r="AC30" i="4"/>
  <c r="CU55" i="4"/>
  <c r="AG55" i="4"/>
  <c r="AI55" i="4"/>
  <c r="CU41" i="4"/>
  <c r="CV40" i="4" s="1"/>
  <c r="CW40" i="4" s="1"/>
  <c r="AI41" i="4"/>
  <c r="AC41" i="4"/>
  <c r="AG41" i="4"/>
  <c r="CU52" i="4"/>
  <c r="AC52" i="4"/>
  <c r="AE52" i="4"/>
  <c r="AI52" i="4"/>
  <c r="AG52" i="4"/>
  <c r="AA52" i="4"/>
  <c r="CU48" i="4"/>
  <c r="AG48" i="4"/>
  <c r="AI48" i="4"/>
  <c r="CU57" i="4"/>
  <c r="AI57" i="4"/>
  <c r="AG57" i="4"/>
  <c r="CU47" i="4"/>
  <c r="AE47" i="4"/>
  <c r="AC47" i="4"/>
  <c r="AG47" i="4"/>
  <c r="AA47" i="4"/>
  <c r="AI47" i="4"/>
  <c r="AI29" i="4"/>
  <c r="AG29" i="4"/>
  <c r="CU58" i="4"/>
  <c r="CV58" i="4" s="1"/>
  <c r="CW58" i="4" s="1"/>
  <c r="AG58" i="4"/>
  <c r="AA58" i="4"/>
  <c r="AI58" i="4"/>
  <c r="CU45" i="4"/>
  <c r="AI45" i="4"/>
  <c r="AG45" i="4"/>
  <c r="CU23" i="4"/>
  <c r="AE23" i="4"/>
  <c r="AG23" i="4"/>
  <c r="AA23" i="4"/>
  <c r="AI23" i="4"/>
  <c r="AC23" i="4"/>
  <c r="BI30" i="4"/>
  <c r="BT30" i="4"/>
  <c r="BH30" i="4"/>
  <c r="BU30" i="4"/>
  <c r="BY30" i="4"/>
  <c r="BG30" i="4"/>
  <c r="BV30" i="4"/>
  <c r="BF30" i="4"/>
  <c r="BW30" i="4"/>
  <c r="BS30" i="4"/>
  <c r="BD54" i="4"/>
  <c r="AI28" i="4"/>
  <c r="AG28" i="4"/>
  <c r="CU69" i="4"/>
  <c r="CU49" i="4"/>
  <c r="BI20" i="4"/>
  <c r="BW20" i="4"/>
  <c r="BH20" i="4"/>
  <c r="BT20" i="4"/>
  <c r="BG20" i="4"/>
  <c r="BU20" i="4"/>
  <c r="BY20" i="4"/>
  <c r="BV20" i="4"/>
  <c r="BF20" i="4"/>
  <c r="BS20" i="4"/>
  <c r="T88" i="3"/>
  <c r="N85" i="10"/>
  <c r="AA85" i="10" s="1"/>
  <c r="CU43" i="4"/>
  <c r="BI71" i="4"/>
  <c r="BH71" i="4"/>
  <c r="BG71" i="4"/>
  <c r="BF71" i="4"/>
  <c r="BV71" i="4"/>
  <c r="BS71" i="4"/>
  <c r="BW71" i="4"/>
  <c r="BT71" i="4"/>
  <c r="BY71" i="4"/>
  <c r="BU71" i="4"/>
  <c r="BH62" i="4"/>
  <c r="BS62" i="4"/>
  <c r="BW62" i="4"/>
  <c r="BG62" i="4"/>
  <c r="BU62" i="4"/>
  <c r="BF62" i="4"/>
  <c r="BT62" i="4"/>
  <c r="BV62" i="4"/>
  <c r="BY62" i="4"/>
  <c r="BI62" i="4"/>
  <c r="BI28" i="4"/>
  <c r="BU28" i="4"/>
  <c r="BY28" i="4"/>
  <c r="BH28" i="4"/>
  <c r="BV28" i="4"/>
  <c r="BG28" i="4"/>
  <c r="BS28" i="4"/>
  <c r="BW28" i="4"/>
  <c r="BF28" i="4"/>
  <c r="BT28" i="4"/>
  <c r="CU65" i="4"/>
  <c r="AE65" i="4"/>
  <c r="AG65" i="4"/>
  <c r="AI65" i="4"/>
  <c r="AC65" i="4"/>
  <c r="AE64" i="4"/>
  <c r="AC64" i="4"/>
  <c r="AG64" i="4"/>
  <c r="AI64" i="4"/>
  <c r="CU64" i="4"/>
  <c r="AA67" i="4"/>
  <c r="AI67" i="4"/>
  <c r="AG67" i="4"/>
  <c r="AC67" i="4"/>
  <c r="AE67" i="4"/>
  <c r="CU67" i="4"/>
  <c r="DG65" i="4"/>
  <c r="AA65" i="4"/>
  <c r="DI65" i="4"/>
  <c r="DJ65" i="4" s="1"/>
  <c r="DG64" i="4"/>
  <c r="AA64" i="4"/>
  <c r="DI64" i="4"/>
  <c r="DJ64" i="4" s="1"/>
  <c r="BE64" i="4"/>
  <c r="BI65" i="4"/>
  <c r="BV65" i="4"/>
  <c r="BS65" i="4"/>
  <c r="BG65" i="4"/>
  <c r="BT65" i="4"/>
  <c r="BF65" i="4"/>
  <c r="BU65" i="4"/>
  <c r="BH65" i="4"/>
  <c r="BW65" i="4"/>
  <c r="BY65" i="4"/>
  <c r="BD65" i="4"/>
  <c r="DH19" i="4"/>
  <c r="AE19" i="4" s="1"/>
  <c r="BE56" i="4"/>
  <c r="BD36" i="4"/>
  <c r="BD15" i="4"/>
  <c r="BD12" i="4"/>
  <c r="B15" i="4"/>
  <c r="B16" i="4" s="1"/>
  <c r="EH73" i="4"/>
  <c r="Z102" i="10"/>
  <c r="R105" i="3"/>
  <c r="DK15" i="4"/>
  <c r="DL15" i="4" s="1"/>
  <c r="DG15" i="4"/>
  <c r="DH28" i="4"/>
  <c r="DG28" i="4" s="1"/>
  <c r="Z37" i="3"/>
  <c r="EQ56" i="8" a="1"/>
  <c r="EQ56" i="8" s="1"/>
  <c r="H56" i="8" s="1"/>
  <c r="CL16" i="4"/>
  <c r="CM16" i="4" s="1"/>
  <c r="CJ16" i="4"/>
  <c r="CK16" i="4" s="1"/>
  <c r="CF16" i="4"/>
  <c r="CG16" i="4" s="1"/>
  <c r="CH16" i="4"/>
  <c r="CI16" i="4" s="1"/>
  <c r="CN16" i="4"/>
  <c r="CO16" i="4" s="1"/>
  <c r="CF12" i="4"/>
  <c r="CG12" i="4" s="1"/>
  <c r="CJ12" i="4"/>
  <c r="CK12" i="4" s="1"/>
  <c r="CH12" i="4"/>
  <c r="CI12" i="4" s="1"/>
  <c r="CN12" i="4"/>
  <c r="CO12" i="4" s="1"/>
  <c r="CL12" i="4"/>
  <c r="CM12" i="4" s="1"/>
  <c r="CU31" i="4"/>
  <c r="CU28" i="4"/>
  <c r="CU29" i="4"/>
  <c r="CJ14" i="4"/>
  <c r="CK14" i="4" s="1"/>
  <c r="CF14" i="4"/>
  <c r="CG14" i="4" s="1"/>
  <c r="CH14" i="4"/>
  <c r="CI14" i="4" s="1"/>
  <c r="CN14" i="4"/>
  <c r="CO14" i="4" s="1"/>
  <c r="CL14" i="4"/>
  <c r="CM14" i="4" s="1"/>
  <c r="CL13" i="4"/>
  <c r="CM13" i="4" s="1"/>
  <c r="CJ13" i="4"/>
  <c r="CK13" i="4" s="1"/>
  <c r="CH13" i="4"/>
  <c r="CI13" i="4" s="1"/>
  <c r="CN13" i="4"/>
  <c r="CO13" i="4" s="1"/>
  <c r="CF13" i="4"/>
  <c r="CG13" i="4" s="1"/>
  <c r="CU16" i="4"/>
  <c r="CU13" i="4"/>
  <c r="CU20" i="4"/>
  <c r="CL17" i="4"/>
  <c r="CM17" i="4" s="1"/>
  <c r="CF17" i="4"/>
  <c r="CG17" i="4" s="1"/>
  <c r="CJ17" i="4"/>
  <c r="CK17" i="4" s="1"/>
  <c r="CH17" i="4"/>
  <c r="CI17" i="4" s="1"/>
  <c r="CN17" i="4"/>
  <c r="CO17" i="4" s="1"/>
  <c r="CF15" i="4"/>
  <c r="CG15" i="4" s="1"/>
  <c r="CN15" i="4"/>
  <c r="CO15" i="4" s="1"/>
  <c r="CL15" i="4"/>
  <c r="CM15" i="4" s="1"/>
  <c r="CJ15" i="4"/>
  <c r="CK15" i="4" s="1"/>
  <c r="CH15" i="4"/>
  <c r="CI15" i="4" s="1"/>
  <c r="CU12" i="4"/>
  <c r="CU14" i="4"/>
  <c r="CV14" i="4" s="1"/>
  <c r="CW14" i="4" s="1"/>
  <c r="BT62" i="8"/>
  <c r="BS62" i="8"/>
  <c r="BR62" i="8"/>
  <c r="BF62" i="8"/>
  <c r="BE62" i="8"/>
  <c r="BD62" i="8"/>
  <c r="BP62" i="8"/>
  <c r="BV62" i="8"/>
  <c r="BQ62" i="8"/>
  <c r="BC62" i="8"/>
  <c r="BP25" i="8"/>
  <c r="BF25" i="8"/>
  <c r="BT25" i="8"/>
  <c r="BV25" i="8"/>
  <c r="BS25" i="8"/>
  <c r="BQ25" i="8"/>
  <c r="BR25" i="8"/>
  <c r="BE25" i="8"/>
  <c r="BD25" i="8"/>
  <c r="BC25" i="8"/>
  <c r="BR12" i="8"/>
  <c r="BP12" i="8"/>
  <c r="BF12" i="8"/>
  <c r="BV12" i="8"/>
  <c r="BS12" i="8"/>
  <c r="BE12" i="8"/>
  <c r="BT12" i="8"/>
  <c r="BD12" i="8"/>
  <c r="BQ43" i="8"/>
  <c r="BF43" i="8"/>
  <c r="BC43" i="8"/>
  <c r="BV43" i="8"/>
  <c r="BT43" i="8"/>
  <c r="BS43" i="8"/>
  <c r="BD43" i="8"/>
  <c r="BR43" i="8"/>
  <c r="BP43" i="8"/>
  <c r="BE43" i="8"/>
  <c r="BT68" i="8"/>
  <c r="BS68" i="8"/>
  <c r="BV68" i="8"/>
  <c r="BP68" i="8"/>
  <c r="BQ68" i="8"/>
  <c r="BF68" i="8"/>
  <c r="BR68" i="8"/>
  <c r="BE68" i="8"/>
  <c r="BD68" i="8"/>
  <c r="BC68" i="8"/>
  <c r="BT18" i="8"/>
  <c r="BS18" i="8"/>
  <c r="BR18" i="8"/>
  <c r="BP18" i="8"/>
  <c r="BE18" i="8"/>
  <c r="BD18" i="8"/>
  <c r="BQ18" i="8"/>
  <c r="BF18" i="8"/>
  <c r="BV18" i="8"/>
  <c r="BC18" i="8"/>
  <c r="BT34" i="8"/>
  <c r="BS34" i="8"/>
  <c r="BR34" i="8"/>
  <c r="BP34" i="8"/>
  <c r="BE34" i="8"/>
  <c r="BD34" i="8"/>
  <c r="BQ34" i="8"/>
  <c r="BF34" i="8"/>
  <c r="BV34" i="8"/>
  <c r="BC34" i="8"/>
  <c r="BR44" i="8"/>
  <c r="BQ44" i="8"/>
  <c r="BP44" i="8"/>
  <c r="BF44" i="8"/>
  <c r="BV44" i="8"/>
  <c r="BE44" i="8"/>
  <c r="BT44" i="8"/>
  <c r="BS44" i="8"/>
  <c r="BD44" i="8"/>
  <c r="BC44" i="8"/>
  <c r="BQ71" i="8"/>
  <c r="BR71" i="8"/>
  <c r="BP71" i="8"/>
  <c r="BC71" i="8"/>
  <c r="BV71" i="8"/>
  <c r="BE71" i="8"/>
  <c r="BD71" i="8"/>
  <c r="BT71" i="8"/>
  <c r="BS71" i="8"/>
  <c r="BF71" i="8"/>
  <c r="EQ55" i="8" a="1"/>
  <c r="EQ55" i="8" s="1"/>
  <c r="H55" i="8" s="1"/>
  <c r="BQ59" i="8"/>
  <c r="BC59" i="8"/>
  <c r="BV59" i="8"/>
  <c r="BT59" i="8"/>
  <c r="BD59" i="8"/>
  <c r="BP59" i="8"/>
  <c r="BS59" i="8"/>
  <c r="BF59" i="8"/>
  <c r="BR59" i="8"/>
  <c r="BE59" i="8"/>
  <c r="BP49" i="8"/>
  <c r="BF49" i="8"/>
  <c r="BR49" i="8"/>
  <c r="BQ49" i="8"/>
  <c r="BV49" i="8"/>
  <c r="BE49" i="8"/>
  <c r="BD49" i="8"/>
  <c r="BC49" i="8"/>
  <c r="BT49" i="8"/>
  <c r="BS49" i="8"/>
  <c r="BT36" i="8"/>
  <c r="BS36" i="8"/>
  <c r="BV36" i="8"/>
  <c r="BP36" i="8"/>
  <c r="BQ36" i="8"/>
  <c r="BR36" i="8"/>
  <c r="BE36" i="8"/>
  <c r="BF36" i="8"/>
  <c r="BD36" i="8"/>
  <c r="BC36" i="8"/>
  <c r="BT50" i="8"/>
  <c r="BS50" i="8"/>
  <c r="BR50" i="8"/>
  <c r="BP50" i="8"/>
  <c r="BE50" i="8"/>
  <c r="BD50" i="8"/>
  <c r="BQ50" i="8"/>
  <c r="BF50" i="8"/>
  <c r="BV50" i="8"/>
  <c r="BC50" i="8"/>
  <c r="BF48" i="8"/>
  <c r="BT48" i="8"/>
  <c r="BD48" i="8"/>
  <c r="BC48" i="8"/>
  <c r="BP48" i="8"/>
  <c r="BV48" i="8"/>
  <c r="BS48" i="8"/>
  <c r="BQ48" i="8"/>
  <c r="BR48" i="8"/>
  <c r="BE48" i="8"/>
  <c r="BB61" i="8"/>
  <c r="BB53" i="8"/>
  <c r="BT38" i="8"/>
  <c r="BS38" i="8"/>
  <c r="BR38" i="8"/>
  <c r="BQ38" i="8"/>
  <c r="BF38" i="8"/>
  <c r="BE38" i="8"/>
  <c r="BD38" i="8"/>
  <c r="BP38" i="8"/>
  <c r="BC38" i="8"/>
  <c r="BV38" i="8"/>
  <c r="BT30" i="8"/>
  <c r="BS30" i="8"/>
  <c r="BR30" i="8"/>
  <c r="BE30" i="8"/>
  <c r="BD30" i="8"/>
  <c r="BP30" i="8"/>
  <c r="BF30" i="8"/>
  <c r="BV30" i="8"/>
  <c r="BQ30" i="8"/>
  <c r="BC30" i="8"/>
  <c r="BQ35" i="8"/>
  <c r="BS35" i="8"/>
  <c r="BC35" i="8"/>
  <c r="BV35" i="8"/>
  <c r="BR35" i="8"/>
  <c r="BP35" i="8"/>
  <c r="BE35" i="8"/>
  <c r="BT35" i="8"/>
  <c r="BF35" i="8"/>
  <c r="BD35" i="8"/>
  <c r="BQ67" i="8"/>
  <c r="BS67" i="8"/>
  <c r="BC67" i="8"/>
  <c r="BV67" i="8"/>
  <c r="BR67" i="8"/>
  <c r="BP67" i="8"/>
  <c r="BF67" i="8"/>
  <c r="BE67" i="8"/>
  <c r="BT67" i="8"/>
  <c r="BD67" i="8"/>
  <c r="BT58" i="8"/>
  <c r="BS58" i="8"/>
  <c r="BR58" i="8"/>
  <c r="BF58" i="8"/>
  <c r="BE58" i="8"/>
  <c r="BD58" i="8"/>
  <c r="BP58" i="8"/>
  <c r="BC58" i="8"/>
  <c r="BV58" i="8"/>
  <c r="BQ58" i="8"/>
  <c r="BS56" i="8"/>
  <c r="BR56" i="8"/>
  <c r="BQ56" i="8"/>
  <c r="BP56" i="8"/>
  <c r="BF56" i="8"/>
  <c r="BE56" i="8"/>
  <c r="BV56" i="8"/>
  <c r="BT56" i="8"/>
  <c r="BD56" i="8"/>
  <c r="BC56" i="8"/>
  <c r="BS40" i="8"/>
  <c r="BR40" i="8"/>
  <c r="BQ40" i="8"/>
  <c r="BP40" i="8"/>
  <c r="BT40" i="8"/>
  <c r="BF40" i="8"/>
  <c r="BE40" i="8"/>
  <c r="BV40" i="8"/>
  <c r="BD40" i="8"/>
  <c r="BC40" i="8"/>
  <c r="BT46" i="8"/>
  <c r="BS46" i="8"/>
  <c r="BR46" i="8"/>
  <c r="BE46" i="8"/>
  <c r="BD46" i="8"/>
  <c r="BP46" i="8"/>
  <c r="BQ46" i="8"/>
  <c r="BF46" i="8"/>
  <c r="BV46" i="8"/>
  <c r="BC46" i="8"/>
  <c r="BP37" i="8"/>
  <c r="BF37" i="8"/>
  <c r="BV37" i="8"/>
  <c r="BT37" i="8"/>
  <c r="BD37" i="8"/>
  <c r="BC37" i="8"/>
  <c r="BS37" i="8"/>
  <c r="BQ37" i="8"/>
  <c r="BR37" i="8"/>
  <c r="BE37" i="8"/>
  <c r="BQ55" i="8"/>
  <c r="BR55" i="8"/>
  <c r="BP55" i="8"/>
  <c r="BC55" i="8"/>
  <c r="BV55" i="8"/>
  <c r="BE55" i="8"/>
  <c r="BT55" i="8"/>
  <c r="BS55" i="8"/>
  <c r="BD55" i="8"/>
  <c r="BF55" i="8"/>
  <c r="BR60" i="8"/>
  <c r="BQ60" i="8"/>
  <c r="BP60" i="8"/>
  <c r="BV60" i="8"/>
  <c r="BE60" i="8"/>
  <c r="BD60" i="8"/>
  <c r="BC60" i="8"/>
  <c r="BT60" i="8"/>
  <c r="BS60" i="8"/>
  <c r="BF60" i="8"/>
  <c r="BP69" i="8"/>
  <c r="BV69" i="8"/>
  <c r="BT69" i="8"/>
  <c r="BD69" i="8"/>
  <c r="BC69" i="8"/>
  <c r="BS69" i="8"/>
  <c r="BQ69" i="8"/>
  <c r="BF69" i="8"/>
  <c r="BR69" i="8"/>
  <c r="BE69" i="8"/>
  <c r="BT42" i="8"/>
  <c r="BS42" i="8"/>
  <c r="BR42" i="8"/>
  <c r="BE42" i="8"/>
  <c r="BD42" i="8"/>
  <c r="BQ42" i="8"/>
  <c r="BC42" i="8"/>
  <c r="BV42" i="8"/>
  <c r="BF42" i="8"/>
  <c r="BP42" i="8"/>
  <c r="BV16" i="8"/>
  <c r="BF16" i="8"/>
  <c r="BT16" i="8"/>
  <c r="BP16" i="8"/>
  <c r="BD16" i="8"/>
  <c r="BC16" i="8"/>
  <c r="BS16" i="8"/>
  <c r="BR16" i="8"/>
  <c r="BQ16" i="8"/>
  <c r="BE16" i="8"/>
  <c r="BQ27" i="8"/>
  <c r="BF27" i="8"/>
  <c r="BC27" i="8"/>
  <c r="BV27" i="8"/>
  <c r="BT27" i="8"/>
  <c r="BD27" i="8"/>
  <c r="BP27" i="8"/>
  <c r="BS27" i="8"/>
  <c r="BR27" i="8"/>
  <c r="BE27" i="8"/>
  <c r="BF32" i="8"/>
  <c r="BT32" i="8"/>
  <c r="BS32" i="8"/>
  <c r="BQ32" i="8"/>
  <c r="BD32" i="8"/>
  <c r="BC32" i="8"/>
  <c r="BR32" i="8"/>
  <c r="BV32" i="8"/>
  <c r="BP32" i="8"/>
  <c r="BE32" i="8"/>
  <c r="BQ51" i="8"/>
  <c r="BS51" i="8"/>
  <c r="BC51" i="8"/>
  <c r="BV51" i="8"/>
  <c r="BR51" i="8"/>
  <c r="BP51" i="8"/>
  <c r="BT51" i="8"/>
  <c r="BF51" i="8"/>
  <c r="BE51" i="8"/>
  <c r="BD51" i="8"/>
  <c r="BT52" i="8"/>
  <c r="BS52" i="8"/>
  <c r="BV52" i="8"/>
  <c r="BR52" i="8"/>
  <c r="BP52" i="8"/>
  <c r="BF52" i="8"/>
  <c r="BE52" i="8"/>
  <c r="BQ52" i="8"/>
  <c r="BD52" i="8"/>
  <c r="BC52" i="8"/>
  <c r="BP14" i="8"/>
  <c r="BT14" i="8"/>
  <c r="BS14" i="8"/>
  <c r="BR14" i="8"/>
  <c r="BE14" i="8"/>
  <c r="BD14" i="8"/>
  <c r="BV14" i="8"/>
  <c r="BQ14" i="8"/>
  <c r="BF14" i="8"/>
  <c r="BC14" i="8"/>
  <c r="BT66" i="8"/>
  <c r="BS66" i="8"/>
  <c r="BR66" i="8"/>
  <c r="BP66" i="8"/>
  <c r="BF66" i="8"/>
  <c r="BE66" i="8"/>
  <c r="BD66" i="8"/>
  <c r="BQ66" i="8"/>
  <c r="BV66" i="8"/>
  <c r="BC66" i="8"/>
  <c r="BT64" i="8"/>
  <c r="BS64" i="8"/>
  <c r="BQ64" i="8"/>
  <c r="BD64" i="8"/>
  <c r="BC64" i="8"/>
  <c r="BR64" i="8"/>
  <c r="BV64" i="8"/>
  <c r="BF64" i="8"/>
  <c r="BP64" i="8"/>
  <c r="BE64" i="8"/>
  <c r="BP65" i="8"/>
  <c r="BR65" i="8"/>
  <c r="BQ65" i="8"/>
  <c r="BV65" i="8"/>
  <c r="BE65" i="8"/>
  <c r="BT65" i="8"/>
  <c r="BS65" i="8"/>
  <c r="BD65" i="8"/>
  <c r="BC65" i="8"/>
  <c r="BF65" i="8"/>
  <c r="BT54" i="8"/>
  <c r="BS54" i="8"/>
  <c r="BR54" i="8"/>
  <c r="BQ54" i="8"/>
  <c r="BF54" i="8"/>
  <c r="BE54" i="8"/>
  <c r="BD54" i="8"/>
  <c r="BC54" i="8"/>
  <c r="BV54" i="8"/>
  <c r="BP54" i="8"/>
  <c r="BT70" i="8"/>
  <c r="BS70" i="8"/>
  <c r="BR70" i="8"/>
  <c r="BQ70" i="8"/>
  <c r="BF70" i="8"/>
  <c r="BE70" i="8"/>
  <c r="BD70" i="8"/>
  <c r="BP70" i="8"/>
  <c r="BC70" i="8"/>
  <c r="BV70" i="8"/>
  <c r="BP45" i="8"/>
  <c r="BF45" i="8"/>
  <c r="BS45" i="8"/>
  <c r="BV45" i="8"/>
  <c r="BR45" i="8"/>
  <c r="BQ45" i="8"/>
  <c r="BE45" i="8"/>
  <c r="BT45" i="8"/>
  <c r="BD45" i="8"/>
  <c r="BC45" i="8"/>
  <c r="BQ47" i="8"/>
  <c r="BT47" i="8"/>
  <c r="BC47" i="8"/>
  <c r="BV47" i="8"/>
  <c r="BS47" i="8"/>
  <c r="BP47" i="8"/>
  <c r="BR47" i="8"/>
  <c r="BE47" i="8"/>
  <c r="BF47" i="8"/>
  <c r="BD47" i="8"/>
  <c r="BP41" i="8"/>
  <c r="BF41" i="8"/>
  <c r="BT41" i="8"/>
  <c r="BV41" i="8"/>
  <c r="BS41" i="8"/>
  <c r="BR41" i="8"/>
  <c r="BE41" i="8"/>
  <c r="BQ41" i="8"/>
  <c r="BD41" i="8"/>
  <c r="BC41" i="8"/>
  <c r="DZ32" i="4"/>
  <c r="EA32" i="4" s="1"/>
  <c r="DZ64" i="4"/>
  <c r="EA64" i="4" s="1"/>
  <c r="CF33" i="4"/>
  <c r="CG33" i="4" s="1"/>
  <c r="CH33" i="4"/>
  <c r="CI33" i="4" s="1"/>
  <c r="CL33" i="4"/>
  <c r="CM33" i="4" s="1"/>
  <c r="CJ33" i="4"/>
  <c r="CK33" i="4" s="1"/>
  <c r="CN33" i="4"/>
  <c r="CO33" i="4" s="1"/>
  <c r="CH65" i="4"/>
  <c r="CI65" i="4" s="1"/>
  <c r="CN65" i="4"/>
  <c r="CO65" i="4" s="1"/>
  <c r="CL65" i="4"/>
  <c r="CM65" i="4" s="1"/>
  <c r="CF65" i="4"/>
  <c r="CG65" i="4" s="1"/>
  <c r="CJ65" i="4"/>
  <c r="CK65" i="4" s="1"/>
  <c r="CJ51" i="4"/>
  <c r="CK51" i="4" s="1"/>
  <c r="CF51" i="4"/>
  <c r="CG51" i="4" s="1"/>
  <c r="CN51" i="4"/>
  <c r="CO51" i="4" s="1"/>
  <c r="CL51" i="4"/>
  <c r="CM51" i="4" s="1"/>
  <c r="CH51" i="4"/>
  <c r="CI51" i="4" s="1"/>
  <c r="CJ68" i="4"/>
  <c r="CK68" i="4" s="1"/>
  <c r="CL68" i="4"/>
  <c r="CM68" i="4" s="1"/>
  <c r="CF68" i="4"/>
  <c r="CG68" i="4" s="1"/>
  <c r="CN68" i="4"/>
  <c r="CO68" i="4" s="1"/>
  <c r="CH68" i="4"/>
  <c r="CI68" i="4" s="1"/>
  <c r="CJ70" i="4"/>
  <c r="CK70" i="4" s="1"/>
  <c r="CN70" i="4"/>
  <c r="CO70" i="4" s="1"/>
  <c r="CL70" i="4"/>
  <c r="CM70" i="4" s="1"/>
  <c r="CH70" i="4"/>
  <c r="CI70" i="4" s="1"/>
  <c r="CF70" i="4"/>
  <c r="CG70" i="4" s="1"/>
  <c r="CN56" i="4"/>
  <c r="CO56" i="4" s="1"/>
  <c r="CF56" i="4"/>
  <c r="CG56" i="4" s="1"/>
  <c r="CJ56" i="4"/>
  <c r="CK56" i="4" s="1"/>
  <c r="CH56" i="4"/>
  <c r="CI56" i="4" s="1"/>
  <c r="CL56" i="4"/>
  <c r="CM56" i="4" s="1"/>
  <c r="CN38" i="4"/>
  <c r="CO38" i="4" s="1"/>
  <c r="CF38" i="4"/>
  <c r="CG38" i="4" s="1"/>
  <c r="CL38" i="4"/>
  <c r="CM38" i="4" s="1"/>
  <c r="CJ38" i="4"/>
  <c r="CK38" i="4" s="1"/>
  <c r="CH38" i="4"/>
  <c r="CI38" i="4" s="1"/>
  <c r="CN22" i="4"/>
  <c r="CO22" i="4" s="1"/>
  <c r="CF22" i="4"/>
  <c r="CG22" i="4" s="1"/>
  <c r="CH22" i="4"/>
  <c r="CI22" i="4" s="1"/>
  <c r="CL22" i="4"/>
  <c r="CM22" i="4" s="1"/>
  <c r="CJ22" i="4"/>
  <c r="CK22" i="4" s="1"/>
  <c r="CL64" i="4"/>
  <c r="CM64" i="4" s="1"/>
  <c r="CF64" i="4"/>
  <c r="CG64" i="4" s="1"/>
  <c r="CN64" i="4"/>
  <c r="CO64" i="4" s="1"/>
  <c r="CJ64" i="4"/>
  <c r="CK64" i="4" s="1"/>
  <c r="CH64" i="4"/>
  <c r="CI64" i="4" s="1"/>
  <c r="CN24" i="4"/>
  <c r="CO24" i="4" s="1"/>
  <c r="CF24" i="4"/>
  <c r="CG24" i="4" s="1"/>
  <c r="CL24" i="4"/>
  <c r="CM24" i="4" s="1"/>
  <c r="CH24" i="4"/>
  <c r="CI24" i="4" s="1"/>
  <c r="CJ24" i="4"/>
  <c r="CK24" i="4" s="1"/>
  <c r="CN60" i="4"/>
  <c r="CO60" i="4" s="1"/>
  <c r="CF60" i="4"/>
  <c r="CG60" i="4" s="1"/>
  <c r="CL60" i="4"/>
  <c r="CM60" i="4" s="1"/>
  <c r="CJ60" i="4"/>
  <c r="CK60" i="4" s="1"/>
  <c r="CH60" i="4"/>
  <c r="CI60" i="4" s="1"/>
  <c r="CN50" i="4"/>
  <c r="CO50" i="4" s="1"/>
  <c r="CF50" i="4"/>
  <c r="CG50" i="4" s="1"/>
  <c r="CH50" i="4"/>
  <c r="CI50" i="4" s="1"/>
  <c r="CL50" i="4"/>
  <c r="CM50" i="4" s="1"/>
  <c r="CJ50" i="4"/>
  <c r="CK50" i="4" s="1"/>
  <c r="CH30" i="4"/>
  <c r="CI30" i="4" s="1"/>
  <c r="CJ30" i="4"/>
  <c r="CK30" i="4" s="1"/>
  <c r="CF30" i="4"/>
  <c r="CG30" i="4" s="1"/>
  <c r="CN30" i="4"/>
  <c r="CO30" i="4" s="1"/>
  <c r="CL30" i="4"/>
  <c r="CM30" i="4" s="1"/>
  <c r="CJ55" i="4"/>
  <c r="CK55" i="4" s="1"/>
  <c r="CL55" i="4"/>
  <c r="CM55" i="4" s="1"/>
  <c r="CH55" i="4"/>
  <c r="CI55" i="4" s="1"/>
  <c r="CN55" i="4"/>
  <c r="CO55" i="4" s="1"/>
  <c r="CF55" i="4"/>
  <c r="CG55" i="4" s="1"/>
  <c r="CJ41" i="4"/>
  <c r="CK41" i="4" s="1"/>
  <c r="CH41" i="4"/>
  <c r="CI41" i="4" s="1"/>
  <c r="CF41" i="4"/>
  <c r="CG41" i="4" s="1"/>
  <c r="CN41" i="4"/>
  <c r="CO41" i="4" s="1"/>
  <c r="CL41" i="4"/>
  <c r="CM41" i="4" s="1"/>
  <c r="CN52" i="4"/>
  <c r="CO52" i="4" s="1"/>
  <c r="CF52" i="4"/>
  <c r="CG52" i="4" s="1"/>
  <c r="CL52" i="4"/>
  <c r="CM52" i="4" s="1"/>
  <c r="CJ52" i="4"/>
  <c r="CK52" i="4" s="1"/>
  <c r="CH52" i="4"/>
  <c r="CI52" i="4" s="1"/>
  <c r="CN48" i="4"/>
  <c r="CO48" i="4" s="1"/>
  <c r="CF48" i="4"/>
  <c r="CG48" i="4" s="1"/>
  <c r="CJ48" i="4"/>
  <c r="CK48" i="4" s="1"/>
  <c r="CH48" i="4"/>
  <c r="CI48" i="4" s="1"/>
  <c r="CL48" i="4"/>
  <c r="CM48" i="4" s="1"/>
  <c r="CN40" i="4"/>
  <c r="CO40" i="4" s="1"/>
  <c r="CF40" i="4"/>
  <c r="CG40" i="4" s="1"/>
  <c r="CJ40" i="4"/>
  <c r="CK40" i="4" s="1"/>
  <c r="CH40" i="4"/>
  <c r="CI40" i="4" s="1"/>
  <c r="CL40" i="4"/>
  <c r="CM40" i="4" s="1"/>
  <c r="CJ59" i="4"/>
  <c r="CK59" i="4" s="1"/>
  <c r="CF59" i="4"/>
  <c r="CG59" i="4" s="1"/>
  <c r="CN59" i="4"/>
  <c r="CO59" i="4" s="1"/>
  <c r="CH59" i="4"/>
  <c r="CI59" i="4" s="1"/>
  <c r="CL59" i="4"/>
  <c r="CM59" i="4" s="1"/>
  <c r="CN31" i="4"/>
  <c r="CO31" i="4" s="1"/>
  <c r="CF31" i="4"/>
  <c r="CG31" i="4" s="1"/>
  <c r="CL31" i="4"/>
  <c r="CM31" i="4" s="1"/>
  <c r="CH31" i="4"/>
  <c r="CI31" i="4" s="1"/>
  <c r="CJ31" i="4"/>
  <c r="CK31" i="4" s="1"/>
  <c r="BD30" i="4"/>
  <c r="CN28" i="4"/>
  <c r="CO28" i="4" s="1"/>
  <c r="CF28" i="4"/>
  <c r="CG28" i="4" s="1"/>
  <c r="CJ28" i="4"/>
  <c r="CK28" i="4" s="1"/>
  <c r="CH28" i="4"/>
  <c r="CI28" i="4" s="1"/>
  <c r="CL28" i="4"/>
  <c r="CM28" i="4" s="1"/>
  <c r="BD46" i="4"/>
  <c r="CJ43" i="4"/>
  <c r="CK43" i="4" s="1"/>
  <c r="CF43" i="4"/>
  <c r="CG43" i="4" s="1"/>
  <c r="CN43" i="4"/>
  <c r="CO43" i="4" s="1"/>
  <c r="CH43" i="4"/>
  <c r="CI43" i="4" s="1"/>
  <c r="CL43" i="4"/>
  <c r="CM43" i="4" s="1"/>
  <c r="CL20" i="4"/>
  <c r="CM20" i="4" s="1"/>
  <c r="CF20" i="4"/>
  <c r="CG20" i="4" s="1"/>
  <c r="CJ20" i="4"/>
  <c r="CK20" i="4" s="1"/>
  <c r="CN20" i="4"/>
  <c r="CO20" i="4" s="1"/>
  <c r="CH20" i="4"/>
  <c r="CI20" i="4" s="1"/>
  <c r="CL63" i="4"/>
  <c r="CM63" i="4" s="1"/>
  <c r="CN63" i="4"/>
  <c r="CO63" i="4" s="1"/>
  <c r="CJ63" i="4"/>
  <c r="CK63" i="4" s="1"/>
  <c r="CH63" i="4"/>
  <c r="CI63" i="4" s="1"/>
  <c r="CF63" i="4"/>
  <c r="CG63" i="4" s="1"/>
  <c r="CJ23" i="4"/>
  <c r="CK23" i="4" s="1"/>
  <c r="CF23" i="4"/>
  <c r="CG23" i="4" s="1"/>
  <c r="CN23" i="4"/>
  <c r="CO23" i="4" s="1"/>
  <c r="CL23" i="4"/>
  <c r="CM23" i="4" s="1"/>
  <c r="CH23" i="4"/>
  <c r="CI23" i="4" s="1"/>
  <c r="CJ39" i="4"/>
  <c r="CK39" i="4" s="1"/>
  <c r="CL39" i="4"/>
  <c r="CM39" i="4" s="1"/>
  <c r="CH39" i="4"/>
  <c r="CI39" i="4" s="1"/>
  <c r="CN39" i="4"/>
  <c r="CO39" i="4" s="1"/>
  <c r="CF39" i="4"/>
  <c r="CG39" i="4" s="1"/>
  <c r="CN19" i="4"/>
  <c r="CO19" i="4" s="1"/>
  <c r="CF19" i="4"/>
  <c r="CG19" i="4" s="1"/>
  <c r="CH19" i="4"/>
  <c r="CI19" i="4" s="1"/>
  <c r="CL19" i="4"/>
  <c r="CM19" i="4" s="1"/>
  <c r="CJ19" i="4"/>
  <c r="CK19" i="4" s="1"/>
  <c r="CJ49" i="4"/>
  <c r="CK49" i="4" s="1"/>
  <c r="CH49" i="4"/>
  <c r="CI49" i="4" s="1"/>
  <c r="CF49" i="4"/>
  <c r="CG49" i="4" s="1"/>
  <c r="CL49" i="4"/>
  <c r="CM49" i="4" s="1"/>
  <c r="CN49" i="4"/>
  <c r="CO49" i="4" s="1"/>
  <c r="CN54" i="4"/>
  <c r="CO54" i="4" s="1"/>
  <c r="CF54" i="4"/>
  <c r="CG54" i="4" s="1"/>
  <c r="CL54" i="4"/>
  <c r="CM54" i="4" s="1"/>
  <c r="CJ54" i="4"/>
  <c r="CK54" i="4" s="1"/>
  <c r="CH54" i="4"/>
  <c r="CI54" i="4" s="1"/>
  <c r="CL67" i="4"/>
  <c r="CM67" i="4" s="1"/>
  <c r="CN67" i="4"/>
  <c r="CO67" i="4" s="1"/>
  <c r="CH67" i="4"/>
  <c r="CI67" i="4" s="1"/>
  <c r="CJ67" i="4"/>
  <c r="CK67" i="4" s="1"/>
  <c r="CF67" i="4"/>
  <c r="CG67" i="4" s="1"/>
  <c r="CN69" i="4"/>
  <c r="CO69" i="4" s="1"/>
  <c r="CF69" i="4"/>
  <c r="CG69" i="4" s="1"/>
  <c r="CL69" i="4"/>
  <c r="CM69" i="4" s="1"/>
  <c r="CJ69" i="4"/>
  <c r="CK69" i="4" s="1"/>
  <c r="CH69" i="4"/>
  <c r="CI69" i="4" s="1"/>
  <c r="CN34" i="4"/>
  <c r="CO34" i="4" s="1"/>
  <c r="CF34" i="4"/>
  <c r="CG34" i="4" s="1"/>
  <c r="CH34" i="4"/>
  <c r="CI34" i="4" s="1"/>
  <c r="CL34" i="4"/>
  <c r="CM34" i="4" s="1"/>
  <c r="CJ34" i="4"/>
  <c r="CK34" i="4" s="1"/>
  <c r="CJ57" i="4"/>
  <c r="CK57" i="4" s="1"/>
  <c r="CH57" i="4"/>
  <c r="CI57" i="4" s="1"/>
  <c r="CF57" i="4"/>
  <c r="CG57" i="4" s="1"/>
  <c r="CN57" i="4"/>
  <c r="CO57" i="4" s="1"/>
  <c r="CL57" i="4"/>
  <c r="CM57" i="4" s="1"/>
  <c r="CJ47" i="4"/>
  <c r="CK47" i="4" s="1"/>
  <c r="CL47" i="4"/>
  <c r="CM47" i="4" s="1"/>
  <c r="CH47" i="4"/>
  <c r="CI47" i="4" s="1"/>
  <c r="CN47" i="4"/>
  <c r="CO47" i="4" s="1"/>
  <c r="CF47" i="4"/>
  <c r="CG47" i="4" s="1"/>
  <c r="CJ18" i="4"/>
  <c r="CH18" i="4"/>
  <c r="CF18" i="4"/>
  <c r="CG18" i="4" s="1"/>
  <c r="CN18" i="4"/>
  <c r="CL18" i="4"/>
  <c r="CL29" i="4"/>
  <c r="CM29" i="4" s="1"/>
  <c r="CJ29" i="4"/>
  <c r="CK29" i="4" s="1"/>
  <c r="CH29" i="4"/>
  <c r="CI29" i="4" s="1"/>
  <c r="CF29" i="4"/>
  <c r="CG29" i="4" s="1"/>
  <c r="CN29" i="4"/>
  <c r="CO29" i="4" s="1"/>
  <c r="CN58" i="4"/>
  <c r="CO58" i="4" s="1"/>
  <c r="CF58" i="4"/>
  <c r="CG58" i="4" s="1"/>
  <c r="CH58" i="4"/>
  <c r="CI58" i="4" s="1"/>
  <c r="CL58" i="4"/>
  <c r="CM58" i="4" s="1"/>
  <c r="CJ58" i="4"/>
  <c r="CK58" i="4" s="1"/>
  <c r="CJ35" i="4"/>
  <c r="CK35" i="4" s="1"/>
  <c r="CF35" i="4"/>
  <c r="CG35" i="4" s="1"/>
  <c r="CN35" i="4"/>
  <c r="CO35" i="4" s="1"/>
  <c r="CL35" i="4"/>
  <c r="CM35" i="4" s="1"/>
  <c r="CH35" i="4"/>
  <c r="CI35" i="4" s="1"/>
  <c r="BD53" i="4"/>
  <c r="CJ32" i="4"/>
  <c r="CK32" i="4" s="1"/>
  <c r="CF32" i="4"/>
  <c r="CG32" i="4" s="1"/>
  <c r="CN32" i="4"/>
  <c r="CO32" i="4" s="1"/>
  <c r="CL32" i="4"/>
  <c r="CM32" i="4" s="1"/>
  <c r="CH32" i="4"/>
  <c r="CI32" i="4" s="1"/>
  <c r="BE50" i="4"/>
  <c r="BD51" i="4"/>
  <c r="CJ27" i="4"/>
  <c r="CK27" i="4" s="1"/>
  <c r="CL27" i="4"/>
  <c r="CM27" i="4" s="1"/>
  <c r="CH27" i="4"/>
  <c r="CI27" i="4" s="1"/>
  <c r="CF27" i="4"/>
  <c r="CG27" i="4" s="1"/>
  <c r="CN27" i="4"/>
  <c r="CO27" i="4" s="1"/>
  <c r="CN46" i="4"/>
  <c r="CO46" i="4" s="1"/>
  <c r="CF46" i="4"/>
  <c r="CG46" i="4" s="1"/>
  <c r="CL46" i="4"/>
  <c r="CM46" i="4" s="1"/>
  <c r="CJ46" i="4"/>
  <c r="CK46" i="4" s="1"/>
  <c r="CH46" i="4"/>
  <c r="CI46" i="4" s="1"/>
  <c r="CJ61" i="4"/>
  <c r="CK61" i="4" s="1"/>
  <c r="CN61" i="4"/>
  <c r="CO61" i="4" s="1"/>
  <c r="CL61" i="4"/>
  <c r="CM61" i="4" s="1"/>
  <c r="CH61" i="4"/>
  <c r="CI61" i="4" s="1"/>
  <c r="CF61" i="4"/>
  <c r="CG61" i="4" s="1"/>
  <c r="CJ25" i="4"/>
  <c r="CK25" i="4" s="1"/>
  <c r="CN25" i="4"/>
  <c r="CO25" i="4" s="1"/>
  <c r="CL25" i="4"/>
  <c r="CM25" i="4" s="1"/>
  <c r="CH25" i="4"/>
  <c r="CI25" i="4" s="1"/>
  <c r="CF25" i="4"/>
  <c r="CG25" i="4" s="1"/>
  <c r="CN44" i="4"/>
  <c r="CO44" i="4" s="1"/>
  <c r="CF44" i="4"/>
  <c r="CG44" i="4" s="1"/>
  <c r="CL44" i="4"/>
  <c r="CM44" i="4" s="1"/>
  <c r="CJ44" i="4"/>
  <c r="CK44" i="4" s="1"/>
  <c r="CH44" i="4"/>
  <c r="CI44" i="4" s="1"/>
  <c r="CN36" i="4"/>
  <c r="CO36" i="4" s="1"/>
  <c r="CF36" i="4"/>
  <c r="CG36" i="4" s="1"/>
  <c r="CL36" i="4"/>
  <c r="CM36" i="4" s="1"/>
  <c r="CJ36" i="4"/>
  <c r="CK36" i="4" s="1"/>
  <c r="CH36" i="4"/>
  <c r="CI36" i="4" s="1"/>
  <c r="CF62" i="4"/>
  <c r="CG62" i="4" s="1"/>
  <c r="CL62" i="4"/>
  <c r="CM62" i="4" s="1"/>
  <c r="CH62" i="4"/>
  <c r="CI62" i="4" s="1"/>
  <c r="CN62" i="4"/>
  <c r="CO62" i="4" s="1"/>
  <c r="CJ62" i="4"/>
  <c r="CK62" i="4" s="1"/>
  <c r="CJ37" i="4"/>
  <c r="CK37" i="4" s="1"/>
  <c r="CN37" i="4"/>
  <c r="CO37" i="4" s="1"/>
  <c r="CL37" i="4"/>
  <c r="CM37" i="4" s="1"/>
  <c r="CF37" i="4"/>
  <c r="CG37" i="4" s="1"/>
  <c r="CH37" i="4"/>
  <c r="CI37" i="4" s="1"/>
  <c r="CN26" i="4"/>
  <c r="CO26" i="4" s="1"/>
  <c r="CF26" i="4"/>
  <c r="CG26" i="4" s="1"/>
  <c r="CL26" i="4"/>
  <c r="CM26" i="4" s="1"/>
  <c r="CJ26" i="4"/>
  <c r="CK26" i="4" s="1"/>
  <c r="CH26" i="4"/>
  <c r="CI26" i="4" s="1"/>
  <c r="CJ53" i="4"/>
  <c r="CK53" i="4" s="1"/>
  <c r="CN53" i="4"/>
  <c r="CO53" i="4" s="1"/>
  <c r="CL53" i="4"/>
  <c r="CM53" i="4" s="1"/>
  <c r="CF53" i="4"/>
  <c r="CG53" i="4" s="1"/>
  <c r="CH53" i="4"/>
  <c r="CI53" i="4" s="1"/>
  <c r="CL66" i="4"/>
  <c r="CM66" i="4" s="1"/>
  <c r="CF66" i="4"/>
  <c r="CG66" i="4" s="1"/>
  <c r="CN66" i="4"/>
  <c r="CO66" i="4" s="1"/>
  <c r="CJ66" i="4"/>
  <c r="CK66" i="4" s="1"/>
  <c r="CH66" i="4"/>
  <c r="CI66" i="4" s="1"/>
  <c r="CJ45" i="4"/>
  <c r="CK45" i="4" s="1"/>
  <c r="CN45" i="4"/>
  <c r="CO45" i="4" s="1"/>
  <c r="CL45" i="4"/>
  <c r="CM45" i="4" s="1"/>
  <c r="CH45" i="4"/>
  <c r="CI45" i="4" s="1"/>
  <c r="CF45" i="4"/>
  <c r="CG45" i="4" s="1"/>
  <c r="CN42" i="4"/>
  <c r="CO42" i="4" s="1"/>
  <c r="CF42" i="4"/>
  <c r="CG42" i="4" s="1"/>
  <c r="CH42" i="4"/>
  <c r="CI42" i="4" s="1"/>
  <c r="CL42" i="4"/>
  <c r="CM42" i="4" s="1"/>
  <c r="CJ42" i="4"/>
  <c r="CK42" i="4" s="1"/>
  <c r="CN71" i="4"/>
  <c r="CO71" i="4" s="1"/>
  <c r="CF71" i="4"/>
  <c r="CG71" i="4" s="1"/>
  <c r="CL71" i="4"/>
  <c r="CM71" i="4" s="1"/>
  <c r="CJ71" i="4"/>
  <c r="CK71" i="4" s="1"/>
  <c r="CH71" i="4"/>
  <c r="CI71" i="4" s="1"/>
  <c r="CH21" i="4"/>
  <c r="CI21" i="4" s="1"/>
  <c r="CF21" i="4"/>
  <c r="CG21" i="4" s="1"/>
  <c r="CN21" i="4"/>
  <c r="CO21" i="4" s="1"/>
  <c r="CL21" i="4"/>
  <c r="CM21" i="4" s="1"/>
  <c r="CJ21" i="4"/>
  <c r="CK21" i="4" s="1"/>
  <c r="BD55" i="4"/>
  <c r="DZ36" i="4"/>
  <c r="EA36" i="4" s="1"/>
  <c r="DZ68" i="4"/>
  <c r="DZ60" i="4"/>
  <c r="EA60" i="4" s="1"/>
  <c r="F13" i="10"/>
  <c r="DZ54" i="4"/>
  <c r="EA54" i="4" s="1"/>
  <c r="DZ28" i="4"/>
  <c r="EA28" i="4" s="1"/>
  <c r="DZ46" i="4"/>
  <c r="EA46" i="4" s="1"/>
  <c r="DZ48" i="4"/>
  <c r="EA48" i="4" s="1"/>
  <c r="DZ34" i="4"/>
  <c r="EA34" i="4" s="1"/>
  <c r="DZ66" i="4"/>
  <c r="EA66" i="4" s="1"/>
  <c r="CS64" i="8"/>
  <c r="CT64" i="8" s="1"/>
  <c r="CT65" i="8" s="1"/>
  <c r="U26" i="10"/>
  <c r="F25" i="10"/>
  <c r="R25" i="10"/>
  <c r="DH20" i="4"/>
  <c r="DG20" i="4" s="1"/>
  <c r="I25" i="10"/>
  <c r="O13" i="3"/>
  <c r="O25" i="3"/>
  <c r="L25" i="10"/>
  <c r="F14" i="3"/>
  <c r="O137" i="10"/>
  <c r="EQ43" i="8" a="1"/>
  <c r="EQ43" i="8" s="1"/>
  <c r="H43" i="8" s="1"/>
  <c r="CS24" i="8"/>
  <c r="CT24" i="8" s="1"/>
  <c r="CT25" i="8" s="1"/>
  <c r="CS40" i="8"/>
  <c r="CT40" i="8" s="1"/>
  <c r="CT41" i="8" s="1"/>
  <c r="CS56" i="8"/>
  <c r="CT56" i="8" s="1"/>
  <c r="CT57" i="8" s="1"/>
  <c r="BC12" i="8"/>
  <c r="BQ12" i="8"/>
  <c r="F23" i="3"/>
  <c r="F23" i="10"/>
  <c r="O26" i="3"/>
  <c r="O26" i="10"/>
  <c r="F26" i="3"/>
  <c r="F26" i="10"/>
  <c r="R23" i="3"/>
  <c r="R23" i="10"/>
  <c r="L26" i="3"/>
  <c r="L26" i="10"/>
  <c r="U21" i="3"/>
  <c r="U21" i="10"/>
  <c r="O21" i="3"/>
  <c r="O21" i="10"/>
  <c r="I24" i="3"/>
  <c r="I24" i="10"/>
  <c r="U22" i="3"/>
  <c r="U22" i="10"/>
  <c r="L21" i="3"/>
  <c r="L21" i="10"/>
  <c r="U13" i="3"/>
  <c r="U13" i="10"/>
  <c r="R13" i="3"/>
  <c r="R13" i="10"/>
  <c r="I22" i="3"/>
  <c r="I22" i="10"/>
  <c r="L23" i="3"/>
  <c r="L23" i="10"/>
  <c r="L22" i="3"/>
  <c r="L22" i="10"/>
  <c r="U23" i="3"/>
  <c r="U23" i="10"/>
  <c r="R14" i="3"/>
  <c r="R14" i="10"/>
  <c r="I23" i="3"/>
  <c r="I23" i="10"/>
  <c r="L24" i="3"/>
  <c r="L24" i="10"/>
  <c r="U24" i="3"/>
  <c r="U24" i="10"/>
  <c r="O14" i="3"/>
  <c r="O14" i="10"/>
  <c r="I14" i="3"/>
  <c r="I14" i="10"/>
  <c r="O22" i="3"/>
  <c r="O22" i="10"/>
  <c r="O23" i="3"/>
  <c r="O23" i="10"/>
  <c r="R26" i="3"/>
  <c r="R26" i="10"/>
  <c r="U14" i="3"/>
  <c r="U14" i="10"/>
  <c r="I21" i="3"/>
  <c r="I21" i="10"/>
  <c r="L13" i="3"/>
  <c r="L13" i="10"/>
  <c r="R24" i="3"/>
  <c r="R24" i="10"/>
  <c r="F21" i="3"/>
  <c r="F21" i="10"/>
  <c r="F24" i="3"/>
  <c r="F24" i="10"/>
  <c r="O24" i="3"/>
  <c r="O24" i="10"/>
  <c r="F22" i="3"/>
  <c r="F22" i="10"/>
  <c r="L14" i="3"/>
  <c r="L14" i="10"/>
  <c r="I26" i="3"/>
  <c r="I26" i="10"/>
  <c r="R21" i="3"/>
  <c r="R21" i="10"/>
  <c r="R22" i="3"/>
  <c r="R22" i="10"/>
  <c r="I13" i="3"/>
  <c r="I13" i="10"/>
  <c r="U25" i="3"/>
  <c r="U25" i="10"/>
  <c r="CS36" i="8"/>
  <c r="CT36" i="8" s="1"/>
  <c r="CT37" i="8" s="1"/>
  <c r="EQ39" i="8" a="1"/>
  <c r="EQ39" i="8" s="1"/>
  <c r="H39" i="8" s="1"/>
  <c r="CS48" i="8"/>
  <c r="CT48" i="8" s="1"/>
  <c r="CT49" i="8" s="1"/>
  <c r="CS52" i="8"/>
  <c r="CT52" i="8" s="1"/>
  <c r="CT53" i="8" s="1"/>
  <c r="CS68" i="8"/>
  <c r="CT68" i="8" s="1"/>
  <c r="CT69" i="8" s="1"/>
  <c r="CS44" i="8"/>
  <c r="CT44" i="8" s="1"/>
  <c r="CT45" i="8" s="1"/>
  <c r="CS16" i="8"/>
  <c r="CT16" i="8" s="1"/>
  <c r="CT17" i="8" s="1"/>
  <c r="CS32" i="8"/>
  <c r="CT32" i="8" s="1"/>
  <c r="CT33" i="8" s="1"/>
  <c r="CS20" i="8"/>
  <c r="CT20" i="8" s="1"/>
  <c r="CT21" i="8" s="1"/>
  <c r="CS12" i="8"/>
  <c r="CT12" i="8" s="1"/>
  <c r="CT13" i="8" s="1"/>
  <c r="CS28" i="8"/>
  <c r="CT28" i="8" s="1"/>
  <c r="CT29" i="8" s="1"/>
  <c r="CS60" i="8"/>
  <c r="CT60" i="8" s="1"/>
  <c r="CT61" i="8" s="1"/>
  <c r="EE73" i="8"/>
  <c r="DZ56" i="4"/>
  <c r="EA56" i="4" s="1"/>
  <c r="DZ44" i="4"/>
  <c r="EA44" i="4" s="1"/>
  <c r="DZ42" i="4"/>
  <c r="EA42" i="4" s="1"/>
  <c r="DZ58" i="4"/>
  <c r="EA58" i="4" s="1"/>
  <c r="AB1" i="4"/>
  <c r="EQ60" i="8" a="1"/>
  <c r="EQ60" i="8" s="1"/>
  <c r="H60" i="8" s="1"/>
  <c r="EQ40" i="8" a="1"/>
  <c r="EQ40" i="8" s="1"/>
  <c r="H40" i="8" s="1"/>
  <c r="DZ62" i="4"/>
  <c r="EA62" i="4" s="1"/>
  <c r="DZ70" i="4"/>
  <c r="EA70" i="4" s="1"/>
  <c r="DZ52" i="4"/>
  <c r="EA52" i="4" s="1"/>
  <c r="DG13" i="4"/>
  <c r="DM13" i="4"/>
  <c r="DN13" i="4" s="1"/>
  <c r="EQ13" i="4"/>
  <c r="EQ52" i="8" a="1"/>
  <c r="EQ52" i="8" s="1"/>
  <c r="H52" i="8" s="1"/>
  <c r="FC15" i="4"/>
  <c r="EQ51" i="8" a="1"/>
  <c r="EQ51" i="8" s="1"/>
  <c r="H51" i="8" s="1"/>
  <c r="EQ35" i="8" a="1"/>
  <c r="EQ35" i="8" s="1"/>
  <c r="H35" i="8" s="1"/>
  <c r="EQ37" i="8" a="1"/>
  <c r="EQ37" i="8" s="1"/>
  <c r="H37" i="8" s="1"/>
  <c r="DK12" i="4"/>
  <c r="DL12" i="4" s="1"/>
  <c r="DG12" i="4"/>
  <c r="DI12" i="4"/>
  <c r="DJ12" i="4" s="1"/>
  <c r="DM12" i="4"/>
  <c r="DN12" i="4" s="1"/>
  <c r="DI26" i="4"/>
  <c r="DJ26" i="4" s="1"/>
  <c r="DM26" i="4"/>
  <c r="DN26" i="4" s="1"/>
  <c r="DG26" i="4"/>
  <c r="DK26" i="4"/>
  <c r="DL26" i="4" s="1"/>
  <c r="DR33" i="4"/>
  <c r="DS33" i="4" s="1"/>
  <c r="DP33" i="4"/>
  <c r="DQ33" i="4" s="1"/>
  <c r="DG25" i="4"/>
  <c r="BD32" i="4"/>
  <c r="DR30" i="4"/>
  <c r="DS30" i="4" s="1"/>
  <c r="DP30" i="4"/>
  <c r="DQ30" i="4" s="1"/>
  <c r="BD17" i="4"/>
  <c r="DP27" i="4"/>
  <c r="DQ27" i="4" s="1"/>
  <c r="DR27" i="4"/>
  <c r="DS27" i="4" s="1"/>
  <c r="DI24" i="4"/>
  <c r="DJ24" i="4" s="1"/>
  <c r="DM24" i="4"/>
  <c r="DN24" i="4" s="1"/>
  <c r="DK24" i="4"/>
  <c r="DL24" i="4" s="1"/>
  <c r="DG24" i="4"/>
  <c r="DR21" i="4"/>
  <c r="DS21" i="4" s="1"/>
  <c r="DP21" i="4"/>
  <c r="DQ21" i="4" s="1"/>
  <c r="DM33" i="4"/>
  <c r="DN33" i="4" s="1"/>
  <c r="DI33" i="4"/>
  <c r="DJ33" i="4" s="1"/>
  <c r="DG33" i="4"/>
  <c r="DK33" i="4"/>
  <c r="DL33" i="4" s="1"/>
  <c r="DP26" i="4"/>
  <c r="DQ26" i="4" s="1"/>
  <c r="DR26" i="4"/>
  <c r="DS26" i="4" s="1"/>
  <c r="DK22" i="4"/>
  <c r="DL22" i="4" s="1"/>
  <c r="DI22" i="4"/>
  <c r="DJ22" i="4" s="1"/>
  <c r="DG22" i="4"/>
  <c r="DM22" i="4"/>
  <c r="DN22" i="4" s="1"/>
  <c r="DP14" i="4"/>
  <c r="DR14" i="4"/>
  <c r="DH21" i="4"/>
  <c r="AE21" i="4" s="1"/>
  <c r="DK16" i="4"/>
  <c r="DL16" i="4" s="1"/>
  <c r="DM16" i="4"/>
  <c r="DN16" i="4" s="1"/>
  <c r="DI16" i="4"/>
  <c r="DJ16" i="4" s="1"/>
  <c r="DG16" i="4"/>
  <c r="DR22" i="4"/>
  <c r="DS22" i="4" s="1"/>
  <c r="DP22" i="4"/>
  <c r="DQ22" i="4" s="1"/>
  <c r="DP16" i="4"/>
  <c r="DQ16" i="4" s="1"/>
  <c r="DR16" i="4"/>
  <c r="DS16" i="4" s="1"/>
  <c r="DK17" i="4"/>
  <c r="DL17" i="4" s="1"/>
  <c r="DG17" i="4"/>
  <c r="DI17" i="4"/>
  <c r="DJ17" i="4" s="1"/>
  <c r="DM17" i="4"/>
  <c r="DN17" i="4" s="1"/>
  <c r="DK30" i="4"/>
  <c r="DL30" i="4" s="1"/>
  <c r="DM30" i="4"/>
  <c r="DN30" i="4" s="1"/>
  <c r="DG30" i="4"/>
  <c r="DI30" i="4"/>
  <c r="DJ30" i="4" s="1"/>
  <c r="DP32" i="4"/>
  <c r="DQ32" i="4" s="1"/>
  <c r="DR32" i="4"/>
  <c r="DS32" i="4" s="1"/>
  <c r="DK14" i="4"/>
  <c r="DG14" i="4"/>
  <c r="DM14" i="4"/>
  <c r="DN14" i="4" s="1"/>
  <c r="DI14" i="4"/>
  <c r="DJ14" i="4" s="1"/>
  <c r="DM23" i="4"/>
  <c r="DN23" i="4" s="1"/>
  <c r="DG23" i="4"/>
  <c r="DI23" i="4"/>
  <c r="DJ23" i="4" s="1"/>
  <c r="DK23" i="4"/>
  <c r="DL23" i="4" s="1"/>
  <c r="DP23" i="4"/>
  <c r="DQ23" i="4" s="1"/>
  <c r="DR23" i="4"/>
  <c r="DS23" i="4" s="1"/>
  <c r="DM32" i="4"/>
  <c r="DN32" i="4" s="1"/>
  <c r="DI32" i="4"/>
  <c r="DJ32" i="4" s="1"/>
  <c r="DK32" i="4"/>
  <c r="DL32" i="4" s="1"/>
  <c r="DG32" i="4"/>
  <c r="DK18" i="4"/>
  <c r="DL18" i="4" s="1"/>
  <c r="DM18" i="4"/>
  <c r="DN18" i="4" s="1"/>
  <c r="DG18" i="4"/>
  <c r="DI18" i="4"/>
  <c r="DJ18" i="4" s="1"/>
  <c r="DP17" i="4"/>
  <c r="DQ17" i="4" s="1"/>
  <c r="DR17" i="4"/>
  <c r="DS17" i="4" s="1"/>
  <c r="DK27" i="4"/>
  <c r="DL27" i="4" s="1"/>
  <c r="DM27" i="4"/>
  <c r="DN27" i="4" s="1"/>
  <c r="DI27" i="4"/>
  <c r="DJ27" i="4" s="1"/>
  <c r="DG27" i="4"/>
  <c r="DL13" i="4"/>
  <c r="BD23" i="4"/>
  <c r="EQ57" i="8" a="1"/>
  <c r="EQ57" i="8" s="1"/>
  <c r="H57" i="8" s="1"/>
  <c r="EQ62" i="8" a="1"/>
  <c r="EQ62" i="8" s="1"/>
  <c r="H62" i="8" s="1"/>
  <c r="EQ44" i="8" a="1"/>
  <c r="EQ44" i="8" s="1"/>
  <c r="H44" i="8" s="1"/>
  <c r="EQ49" i="8" a="1"/>
  <c r="EQ49" i="8" s="1"/>
  <c r="H49" i="8" s="1"/>
  <c r="EQ54" i="8" a="1"/>
  <c r="EQ54" i="8" s="1"/>
  <c r="H54" i="8" s="1"/>
  <c r="EI14" i="8"/>
  <c r="EQ68" i="8" a="1"/>
  <c r="EQ68" i="8" s="1"/>
  <c r="H68" i="8" s="1"/>
  <c r="EQ58" i="8" a="1"/>
  <c r="EQ58" i="8" s="1"/>
  <c r="H58" i="8" s="1"/>
  <c r="EQ38" i="8" a="1"/>
  <c r="EQ38" i="8" s="1"/>
  <c r="H38" i="8" s="1"/>
  <c r="EQ65" i="8" a="1"/>
  <c r="EQ65" i="8" s="1"/>
  <c r="H65" i="8" s="1"/>
  <c r="EM14" i="8"/>
  <c r="EQ48" i="8" a="1"/>
  <c r="EQ48" i="8" s="1"/>
  <c r="H48" i="8" s="1"/>
  <c r="EV14" i="8"/>
  <c r="EQ63" i="8" a="1"/>
  <c r="EQ63" i="8" s="1"/>
  <c r="H63" i="8" s="1"/>
  <c r="EQ53" i="8" a="1"/>
  <c r="EQ53" i="8" s="1"/>
  <c r="H53" i="8" s="1"/>
  <c r="EQ34" i="8" a="1"/>
  <c r="EQ34" i="8" s="1"/>
  <c r="H34" i="8" s="1"/>
  <c r="EW14" i="8"/>
  <c r="EY14" i="8" s="1"/>
  <c r="EQ45" i="8" a="1"/>
  <c r="EQ45" i="8" s="1"/>
  <c r="H45" i="8" s="1"/>
  <c r="AA27" i="8"/>
  <c r="DD27" i="8"/>
  <c r="DJ27" i="8"/>
  <c r="DK27" i="8" s="1"/>
  <c r="EQ66" i="8" a="1"/>
  <c r="EQ66" i="8" s="1"/>
  <c r="H66" i="8" s="1"/>
  <c r="EQ59" i="8" a="1"/>
  <c r="EQ59" i="8" s="1"/>
  <c r="H59" i="8" s="1"/>
  <c r="EQ64" i="8" a="1"/>
  <c r="EQ64" i="8" s="1"/>
  <c r="H64" i="8" s="1"/>
  <c r="AG15" i="8"/>
  <c r="AI15" i="8"/>
  <c r="EQ61" i="8" a="1"/>
  <c r="EQ61" i="8" s="1"/>
  <c r="H61" i="8" s="1"/>
  <c r="EQ36" i="8" a="1"/>
  <c r="EQ36" i="8" s="1"/>
  <c r="H36" i="8" s="1"/>
  <c r="EQ41" i="8" a="1"/>
  <c r="EQ41" i="8" s="1"/>
  <c r="H41" i="8" s="1"/>
  <c r="EV26" i="8"/>
  <c r="AC27" i="8"/>
  <c r="DE22" i="8"/>
  <c r="AG22" i="8"/>
  <c r="AI22" i="8"/>
  <c r="DO22" i="8"/>
  <c r="DP22" i="8" s="1"/>
  <c r="DM22" i="8"/>
  <c r="DN22" i="8" s="1"/>
  <c r="BB57" i="8"/>
  <c r="AG18" i="8"/>
  <c r="DE18" i="8"/>
  <c r="DM18" i="8"/>
  <c r="DN18" i="8" s="1"/>
  <c r="AI18" i="8"/>
  <c r="DO18" i="8"/>
  <c r="DP18" i="8" s="1"/>
  <c r="EQ67" i="8" a="1"/>
  <c r="EQ67" i="8" s="1"/>
  <c r="H67" i="8" s="1"/>
  <c r="EM30" i="8"/>
  <c r="DH27" i="8"/>
  <c r="DI27" i="8" s="1"/>
  <c r="DF27" i="8"/>
  <c r="DG27" i="8" s="1"/>
  <c r="EM26" i="8"/>
  <c r="DF15" i="8"/>
  <c r="DG15" i="8" s="1"/>
  <c r="AE15" i="8"/>
  <c r="AC15" i="8"/>
  <c r="DD15" i="8"/>
  <c r="EQ46" i="8" a="1"/>
  <c r="EQ46" i="8" s="1"/>
  <c r="H46" i="8" s="1"/>
  <c r="EQ42" i="8" a="1"/>
  <c r="EQ42" i="8" s="1"/>
  <c r="H42" i="8" s="1"/>
  <c r="AG31" i="8"/>
  <c r="DO31" i="8"/>
  <c r="DP31" i="8" s="1"/>
  <c r="AI31" i="8"/>
  <c r="AE27" i="8"/>
  <c r="DM27" i="8"/>
  <c r="DN27" i="8" s="1"/>
  <c r="AG27" i="8"/>
  <c r="DO27" i="8"/>
  <c r="DP27" i="8" s="1"/>
  <c r="AI27" i="8"/>
  <c r="DM24" i="8"/>
  <c r="DN24" i="8" s="1"/>
  <c r="AG24" i="8"/>
  <c r="AI24" i="8"/>
  <c r="EQ47" i="8" a="1"/>
  <c r="EQ47" i="8" s="1"/>
  <c r="H47" i="8" s="1"/>
  <c r="EQ70" i="8" a="1"/>
  <c r="EQ70" i="8" s="1"/>
  <c r="H70" i="8" s="1"/>
  <c r="EI26" i="8"/>
  <c r="EW26" i="8"/>
  <c r="EY26" i="8" s="1"/>
  <c r="DJ19" i="8"/>
  <c r="DK19" i="8" s="1"/>
  <c r="DF19" i="8"/>
  <c r="DG19" i="8" s="1"/>
  <c r="DH19" i="8"/>
  <c r="DI19" i="8" s="1"/>
  <c r="AA19" i="8"/>
  <c r="AC19" i="8"/>
  <c r="AE19" i="8"/>
  <c r="DD19" i="8"/>
  <c r="DJ31" i="8"/>
  <c r="DK31" i="8" s="1"/>
  <c r="AA31" i="8"/>
  <c r="DH31" i="8"/>
  <c r="DI31" i="8" s="1"/>
  <c r="DF31" i="8"/>
  <c r="DG31" i="8" s="1"/>
  <c r="DD31" i="8"/>
  <c r="AC31" i="8"/>
  <c r="AE31" i="8"/>
  <c r="DE12" i="8"/>
  <c r="DO12" i="8"/>
  <c r="DM12" i="8"/>
  <c r="AG12" i="8"/>
  <c r="AI12" i="8"/>
  <c r="EV30" i="8"/>
  <c r="EI30" i="8"/>
  <c r="EW30" i="8"/>
  <c r="EY30" i="8" s="1"/>
  <c r="DE25" i="8"/>
  <c r="DM25" i="8"/>
  <c r="DN25" i="8" s="1"/>
  <c r="DO25" i="8"/>
  <c r="DP25" i="8" s="1"/>
  <c r="AG25" i="8"/>
  <c r="AI25" i="8"/>
  <c r="DE29" i="8"/>
  <c r="DM29" i="8"/>
  <c r="DN29" i="8" s="1"/>
  <c r="DO29" i="8"/>
  <c r="DP29" i="8" s="1"/>
  <c r="AI29" i="8"/>
  <c r="AG29" i="8"/>
  <c r="DE32" i="8"/>
  <c r="DO32" i="8"/>
  <c r="DP32" i="8" s="1"/>
  <c r="DM32" i="8"/>
  <c r="DN32" i="8" s="1"/>
  <c r="AI32" i="8"/>
  <c r="AG32" i="8"/>
  <c r="DE17" i="8"/>
  <c r="DM17" i="8"/>
  <c r="DN17" i="8" s="1"/>
  <c r="AG17" i="8"/>
  <c r="DO17" i="8"/>
  <c r="DP17" i="8" s="1"/>
  <c r="AI17" i="8"/>
  <c r="DJ16" i="8"/>
  <c r="DK16" i="8" s="1"/>
  <c r="DH16" i="8"/>
  <c r="DI16" i="8" s="1"/>
  <c r="AA16" i="8"/>
  <c r="DF16" i="8"/>
  <c r="DG16" i="8" s="1"/>
  <c r="AE16" i="8"/>
  <c r="DD16" i="8"/>
  <c r="AC16" i="8"/>
  <c r="DJ23" i="8"/>
  <c r="DK23" i="8" s="1"/>
  <c r="DF23" i="8"/>
  <c r="DG23" i="8" s="1"/>
  <c r="DH23" i="8"/>
  <c r="DI23" i="8" s="1"/>
  <c r="AE23" i="8"/>
  <c r="AC23" i="8"/>
  <c r="AA23" i="8"/>
  <c r="DD23" i="8"/>
  <c r="DE33" i="8"/>
  <c r="AG33" i="8"/>
  <c r="DM33" i="8"/>
  <c r="DN33" i="8" s="1"/>
  <c r="DO33" i="8"/>
  <c r="DP33" i="8" s="1"/>
  <c r="AI33" i="8"/>
  <c r="DE21" i="8"/>
  <c r="DO21" i="8"/>
  <c r="DP21" i="8" s="1"/>
  <c r="AG21" i="8"/>
  <c r="AI21" i="8"/>
  <c r="DM21" i="8"/>
  <c r="DN21" i="8" s="1"/>
  <c r="DE13" i="8"/>
  <c r="DM13" i="8"/>
  <c r="DN13" i="8" s="1"/>
  <c r="DO13" i="8"/>
  <c r="DP13" i="8" s="1"/>
  <c r="AI13" i="8"/>
  <c r="AG13" i="8"/>
  <c r="DE28" i="8"/>
  <c r="DO28" i="8"/>
  <c r="DP28" i="8" s="1"/>
  <c r="DM28" i="8"/>
  <c r="DN28" i="8" s="1"/>
  <c r="AG28" i="8"/>
  <c r="AI28" i="8"/>
  <c r="DE20" i="8"/>
  <c r="DO20" i="8"/>
  <c r="DP20" i="8" s="1"/>
  <c r="AG20" i="8"/>
  <c r="DM20" i="8"/>
  <c r="DN20" i="8" s="1"/>
  <c r="AI20" i="8"/>
  <c r="DJ24" i="8"/>
  <c r="DK24" i="8" s="1"/>
  <c r="DF24" i="8"/>
  <c r="DG24" i="8" s="1"/>
  <c r="AE24" i="8"/>
  <c r="DH24" i="8"/>
  <c r="DI24" i="8" s="1"/>
  <c r="AA24" i="8"/>
  <c r="AC24" i="8"/>
  <c r="DD24" i="8"/>
  <c r="EQ50" i="8" a="1"/>
  <c r="EQ50" i="8" s="1"/>
  <c r="EQ71" i="8" a="1"/>
  <c r="EQ71" i="8" s="1"/>
  <c r="H71" i="8" s="1"/>
  <c r="EQ69" i="8" a="1"/>
  <c r="EQ69" i="8" s="1"/>
  <c r="H69" i="8" s="1"/>
  <c r="DI61" i="4" l="1"/>
  <c r="DJ61" i="4" s="1"/>
  <c r="BW38" i="4"/>
  <c r="B16" i="8"/>
  <c r="AE35" i="4"/>
  <c r="AA48" i="4"/>
  <c r="DI50" i="4"/>
  <c r="DJ50" i="4" s="1"/>
  <c r="AA37" i="4"/>
  <c r="AA51" i="4"/>
  <c r="EM51" i="4" s="1"/>
  <c r="DM50" i="4"/>
  <c r="DN50" i="4" s="1"/>
  <c r="X105" i="3"/>
  <c r="CV16" i="4"/>
  <c r="CW16" i="4" s="1"/>
  <c r="CV38" i="4"/>
  <c r="CW38" i="4" s="1"/>
  <c r="CW39" i="4" s="1"/>
  <c r="CQ39" i="4" s="1"/>
  <c r="CV26" i="4"/>
  <c r="CW26" i="4" s="1"/>
  <c r="CW27" i="4" s="1"/>
  <c r="AA45" i="4"/>
  <c r="AE45" i="4"/>
  <c r="AA60" i="4"/>
  <c r="AC25" i="4"/>
  <c r="AE49" i="4"/>
  <c r="FC49" i="4" s="1"/>
  <c r="DK28" i="4"/>
  <c r="DL28" i="4" s="1"/>
  <c r="AE48" i="4"/>
  <c r="FC48" i="4" s="1"/>
  <c r="AC50" i="4"/>
  <c r="AA44" i="4"/>
  <c r="EQ44" i="4" s="1"/>
  <c r="AE46" i="4"/>
  <c r="DK50" i="4"/>
  <c r="DL50" i="4" s="1"/>
  <c r="AE41" i="4"/>
  <c r="FC41" i="4" s="1"/>
  <c r="AE50" i="4"/>
  <c r="AA43" i="4"/>
  <c r="AC38" i="4"/>
  <c r="AC37" i="4"/>
  <c r="DZ24" i="4"/>
  <c r="EA24" i="4" s="1"/>
  <c r="EA25" i="4" s="1"/>
  <c r="DU25" i="4" s="1"/>
  <c r="DV25" i="4" s="1"/>
  <c r="AC55" i="4"/>
  <c r="AE55" i="4"/>
  <c r="EQ55" i="4" s="1"/>
  <c r="AE60" i="4"/>
  <c r="AC35" i="4"/>
  <c r="DM29" i="4"/>
  <c r="DN29" i="4" s="1"/>
  <c r="AC56" i="4"/>
  <c r="DI29" i="4"/>
  <c r="DJ29" i="4" s="1"/>
  <c r="AE29" i="4"/>
  <c r="DZ22" i="4"/>
  <c r="EA22" i="4" s="1"/>
  <c r="DM20" i="4"/>
  <c r="DN20" i="4" s="1"/>
  <c r="AE56" i="4"/>
  <c r="AE42" i="4"/>
  <c r="DK29" i="4"/>
  <c r="DL29" i="4" s="1"/>
  <c r="AC29" i="4"/>
  <c r="AC43" i="4"/>
  <c r="AC42" i="4"/>
  <c r="EQ42" i="4" s="1"/>
  <c r="AA38" i="4"/>
  <c r="AA29" i="4"/>
  <c r="AC21" i="4"/>
  <c r="DZ30" i="4"/>
  <c r="EA30" i="4" s="1"/>
  <c r="EA31" i="4" s="1"/>
  <c r="DU31" i="4" s="1"/>
  <c r="DI28" i="4"/>
  <c r="DJ28" i="4" s="1"/>
  <c r="DM28" i="4"/>
  <c r="DN28" i="4" s="1"/>
  <c r="DK20" i="4"/>
  <c r="DL20" i="4" s="1"/>
  <c r="AE28" i="4"/>
  <c r="AA19" i="4"/>
  <c r="DI20" i="4"/>
  <c r="DJ20" i="4" s="1"/>
  <c r="AA28" i="4"/>
  <c r="AC28" i="4"/>
  <c r="AA20" i="4"/>
  <c r="DG40" i="4"/>
  <c r="DI40" i="4"/>
  <c r="DJ40" i="4" s="1"/>
  <c r="DK40" i="4"/>
  <c r="DL40" i="4" s="1"/>
  <c r="DM40" i="4"/>
  <c r="DN40" i="4" s="1"/>
  <c r="DK25" i="4"/>
  <c r="DL25" i="4" s="1"/>
  <c r="AE57" i="4"/>
  <c r="AC40" i="4"/>
  <c r="AC20" i="4"/>
  <c r="AA21" i="4"/>
  <c r="AE25" i="4"/>
  <c r="AA25" i="4"/>
  <c r="AC19" i="4"/>
  <c r="DG41" i="4"/>
  <c r="DM41" i="4"/>
  <c r="DN41" i="4" s="1"/>
  <c r="DI41" i="4"/>
  <c r="DJ41" i="4" s="1"/>
  <c r="DK41" i="4"/>
  <c r="DL41" i="4" s="1"/>
  <c r="DG51" i="4"/>
  <c r="DI51" i="4"/>
  <c r="DJ51" i="4" s="1"/>
  <c r="DK51" i="4"/>
  <c r="DL51" i="4" s="1"/>
  <c r="DM51" i="4"/>
  <c r="DN51" i="4" s="1"/>
  <c r="DG46" i="4"/>
  <c r="DK46" i="4"/>
  <c r="DL46" i="4" s="1"/>
  <c r="DM46" i="4"/>
  <c r="DN46" i="4" s="1"/>
  <c r="DI46" i="4"/>
  <c r="DJ46" i="4" s="1"/>
  <c r="DG44" i="4"/>
  <c r="DI44" i="4"/>
  <c r="DJ44" i="4" s="1"/>
  <c r="DK44" i="4"/>
  <c r="DL44" i="4" s="1"/>
  <c r="DM44" i="4"/>
  <c r="DN44" i="4" s="1"/>
  <c r="DG48" i="4"/>
  <c r="DI48" i="4"/>
  <c r="DJ48" i="4" s="1"/>
  <c r="DK48" i="4"/>
  <c r="DL48" i="4" s="1"/>
  <c r="DM48" i="4"/>
  <c r="DN48" i="4" s="1"/>
  <c r="DG54" i="4"/>
  <c r="DK54" i="4"/>
  <c r="DL54" i="4" s="1"/>
  <c r="DM54" i="4"/>
  <c r="DN54" i="4" s="1"/>
  <c r="DI54" i="4"/>
  <c r="DJ54" i="4" s="1"/>
  <c r="DG58" i="4"/>
  <c r="DK58" i="4"/>
  <c r="DL58" i="4" s="1"/>
  <c r="DM58" i="4"/>
  <c r="DN58" i="4" s="1"/>
  <c r="DI58" i="4"/>
  <c r="DJ58" i="4" s="1"/>
  <c r="DG57" i="4"/>
  <c r="DM57" i="4"/>
  <c r="DN57" i="4" s="1"/>
  <c r="DI57" i="4"/>
  <c r="DJ57" i="4" s="1"/>
  <c r="DK57" i="4"/>
  <c r="DL57" i="4" s="1"/>
  <c r="DI25" i="4"/>
  <c r="DJ25" i="4" s="1"/>
  <c r="AC57" i="4"/>
  <c r="EQ57" i="4" s="1"/>
  <c r="AA54" i="4"/>
  <c r="DG35" i="4"/>
  <c r="DM35" i="4"/>
  <c r="DN35" i="4" s="1"/>
  <c r="DK35" i="4"/>
  <c r="DL35" i="4" s="1"/>
  <c r="DI35" i="4"/>
  <c r="DJ35" i="4" s="1"/>
  <c r="DG60" i="4"/>
  <c r="DI60" i="4"/>
  <c r="DJ60" i="4" s="1"/>
  <c r="DM60" i="4"/>
  <c r="DN60" i="4" s="1"/>
  <c r="DK60" i="4"/>
  <c r="DL60" i="4" s="1"/>
  <c r="DG55" i="4"/>
  <c r="DI55" i="4"/>
  <c r="DJ55" i="4" s="1"/>
  <c r="DK55" i="4"/>
  <c r="DL55" i="4" s="1"/>
  <c r="DM55" i="4"/>
  <c r="DN55" i="4" s="1"/>
  <c r="DG45" i="4"/>
  <c r="DM45" i="4"/>
  <c r="DN45" i="4" s="1"/>
  <c r="DI45" i="4"/>
  <c r="DJ45" i="4" s="1"/>
  <c r="DK45" i="4"/>
  <c r="DL45" i="4" s="1"/>
  <c r="DG49" i="4"/>
  <c r="DM49" i="4"/>
  <c r="DN49" i="4" s="1"/>
  <c r="DI49" i="4"/>
  <c r="DJ49" i="4" s="1"/>
  <c r="DK49" i="4"/>
  <c r="DL49" i="4" s="1"/>
  <c r="DM19" i="4"/>
  <c r="DN19" i="4" s="1"/>
  <c r="DI19" i="4"/>
  <c r="DJ19" i="4" s="1"/>
  <c r="DK19" i="4"/>
  <c r="DL19" i="4" s="1"/>
  <c r="AC58" i="4"/>
  <c r="EQ58" i="4" s="1"/>
  <c r="AE40" i="4"/>
  <c r="AE20" i="4"/>
  <c r="EQ20" i="4" s="1"/>
  <c r="AE54" i="4"/>
  <c r="DG56" i="4"/>
  <c r="DI56" i="4"/>
  <c r="DJ56" i="4" s="1"/>
  <c r="DK56" i="4"/>
  <c r="DL56" i="4" s="1"/>
  <c r="DM56" i="4"/>
  <c r="DN56" i="4" s="1"/>
  <c r="DG42" i="4"/>
  <c r="DK42" i="4"/>
  <c r="DL42" i="4" s="1"/>
  <c r="DM42" i="4"/>
  <c r="DN42" i="4" s="1"/>
  <c r="DI42" i="4"/>
  <c r="DJ42" i="4" s="1"/>
  <c r="DG43" i="4"/>
  <c r="DI43" i="4"/>
  <c r="DJ43" i="4" s="1"/>
  <c r="DK43" i="4"/>
  <c r="DL43" i="4" s="1"/>
  <c r="DM43" i="4"/>
  <c r="DN43" i="4" s="1"/>
  <c r="DG38" i="4"/>
  <c r="DK38" i="4"/>
  <c r="DL38" i="4" s="1"/>
  <c r="DM38" i="4"/>
  <c r="DN38" i="4" s="1"/>
  <c r="DI38" i="4"/>
  <c r="DJ38" i="4" s="1"/>
  <c r="DG37" i="4"/>
  <c r="DM37" i="4"/>
  <c r="DN37" i="4" s="1"/>
  <c r="DK37" i="4"/>
  <c r="DL37" i="4" s="1"/>
  <c r="DI37" i="4"/>
  <c r="DJ37" i="4" s="1"/>
  <c r="BV38" i="4"/>
  <c r="BH38" i="4"/>
  <c r="BF38" i="4"/>
  <c r="BG38" i="4"/>
  <c r="BT38" i="4"/>
  <c r="BS38" i="4"/>
  <c r="BY38" i="4"/>
  <c r="CV24" i="4"/>
  <c r="CW24" i="4" s="1"/>
  <c r="CW25" i="4" s="1"/>
  <c r="DG19" i="4"/>
  <c r="Z105" i="3"/>
  <c r="B17" i="4"/>
  <c r="B18" i="4" s="1"/>
  <c r="AA88" i="3"/>
  <c r="CV36" i="4"/>
  <c r="CW36" i="4" s="1"/>
  <c r="CW37" i="4" s="1"/>
  <c r="DX75" i="8"/>
  <c r="DX76" i="8"/>
  <c r="DX77" i="8"/>
  <c r="DX73" i="8"/>
  <c r="DX74" i="8"/>
  <c r="CV60" i="4"/>
  <c r="CW60" i="4" s="1"/>
  <c r="CW61" i="4" s="1"/>
  <c r="CV22" i="4"/>
  <c r="CW22" i="4" s="1"/>
  <c r="CW23" i="4" s="1"/>
  <c r="CQ23" i="4" s="1"/>
  <c r="CV68" i="4"/>
  <c r="CW68" i="4" s="1"/>
  <c r="CW69" i="4" s="1"/>
  <c r="CQ69" i="4" s="1"/>
  <c r="CV56" i="4"/>
  <c r="CW56" i="4" s="1"/>
  <c r="CW57" i="4" s="1"/>
  <c r="CQ57" i="4" s="1"/>
  <c r="CV52" i="4"/>
  <c r="CW52" i="4" s="1"/>
  <c r="CW53" i="4" s="1"/>
  <c r="CQ60" i="4" s="1"/>
  <c r="CR60" i="4" s="1"/>
  <c r="CV54" i="4"/>
  <c r="CW54" i="4" s="1"/>
  <c r="CW55" i="4" s="1"/>
  <c r="CV20" i="4"/>
  <c r="CW20" i="4" s="1"/>
  <c r="CW21" i="4" s="1"/>
  <c r="CQ21" i="4" s="1"/>
  <c r="CV66" i="4"/>
  <c r="CW66" i="4" s="1"/>
  <c r="CW67" i="4" s="1"/>
  <c r="CQ67" i="4" s="1"/>
  <c r="CV42" i="4"/>
  <c r="CW42" i="4" s="1"/>
  <c r="CW43" i="4" s="1"/>
  <c r="CV46" i="4"/>
  <c r="CW46" i="4" s="1"/>
  <c r="CW47" i="4" s="1"/>
  <c r="CQ47" i="4" s="1"/>
  <c r="CV44" i="4"/>
  <c r="CW44" i="4" s="1"/>
  <c r="CW45" i="4" s="1"/>
  <c r="CQ45" i="4" s="1"/>
  <c r="CV30" i="4"/>
  <c r="CW30" i="4" s="1"/>
  <c r="CW31" i="4" s="1"/>
  <c r="CQ38" i="4" s="1"/>
  <c r="EQ31" i="4"/>
  <c r="CV34" i="4"/>
  <c r="CW34" i="4" s="1"/>
  <c r="CV70" i="4"/>
  <c r="CW70" i="4" s="1"/>
  <c r="CW71" i="4" s="1"/>
  <c r="CQ71" i="4" s="1"/>
  <c r="FC31" i="4"/>
  <c r="CV62" i="4"/>
  <c r="CW62" i="4" s="1"/>
  <c r="CW63" i="4" s="1"/>
  <c r="CQ63" i="4" s="1"/>
  <c r="EM31" i="4"/>
  <c r="CV64" i="4"/>
  <c r="CW64" i="4" s="1"/>
  <c r="CW65" i="4" s="1"/>
  <c r="CQ65" i="4" s="1"/>
  <c r="CV48" i="4"/>
  <c r="CW48" i="4" s="1"/>
  <c r="CW49" i="4" s="1"/>
  <c r="CQ49" i="4" s="1"/>
  <c r="BI56" i="4"/>
  <c r="BH56" i="4"/>
  <c r="BG56" i="4"/>
  <c r="BT56" i="4"/>
  <c r="BF56" i="4"/>
  <c r="BU56" i="4"/>
  <c r="BY56" i="4"/>
  <c r="BV56" i="4"/>
  <c r="BS56" i="4"/>
  <c r="BW56" i="4"/>
  <c r="BI50" i="4"/>
  <c r="BH50" i="4"/>
  <c r="BG50" i="4"/>
  <c r="BV50" i="4"/>
  <c r="BF50" i="4"/>
  <c r="BS50" i="4"/>
  <c r="BW50" i="4"/>
  <c r="BT50" i="4"/>
  <c r="BY50" i="4"/>
  <c r="BU50" i="4"/>
  <c r="CV12" i="4"/>
  <c r="CW12" i="4" s="1"/>
  <c r="CW13" i="4" s="1"/>
  <c r="CQ13" i="4" s="1"/>
  <c r="BT64" i="4"/>
  <c r="BG64" i="4"/>
  <c r="BS64" i="4"/>
  <c r="BU64" i="4"/>
  <c r="BY64" i="4"/>
  <c r="BF64" i="4"/>
  <c r="BV64" i="4"/>
  <c r="BI64" i="4"/>
  <c r="BW64" i="4"/>
  <c r="BH64" i="4"/>
  <c r="M147" i="3"/>
  <c r="O147" i="3" s="1"/>
  <c r="EA41" i="4"/>
  <c r="DU41" i="4" s="1"/>
  <c r="DV41" i="4" s="1"/>
  <c r="EA47" i="4"/>
  <c r="DU47" i="4" s="1"/>
  <c r="DV47" i="4" s="1"/>
  <c r="EA37" i="4"/>
  <c r="EA33" i="4"/>
  <c r="DU33" i="4" s="1"/>
  <c r="DV33" i="4" s="1"/>
  <c r="EA39" i="4"/>
  <c r="DU39" i="4" s="1"/>
  <c r="DV39" i="4" s="1"/>
  <c r="EA71" i="4"/>
  <c r="DU71" i="4" s="1"/>
  <c r="DV71" i="4" s="1"/>
  <c r="DU70" i="4"/>
  <c r="DV70" i="4" s="1"/>
  <c r="EA35" i="4"/>
  <c r="DU35" i="4" s="1"/>
  <c r="DV35" i="4" s="1"/>
  <c r="EA43" i="4"/>
  <c r="DU43" i="4" s="1"/>
  <c r="DV43" i="4" s="1"/>
  <c r="EA45" i="4"/>
  <c r="DU45" i="4" s="1"/>
  <c r="DV45" i="4" s="1"/>
  <c r="EA49" i="4"/>
  <c r="DU49" i="4" s="1"/>
  <c r="DV49" i="4" s="1"/>
  <c r="CV28" i="4"/>
  <c r="CW28" i="4" s="1"/>
  <c r="CW29" i="4" s="1"/>
  <c r="CQ29" i="4" s="1"/>
  <c r="EA68" i="4"/>
  <c r="EA69" i="4" s="1"/>
  <c r="DU69" i="4" s="1"/>
  <c r="DV69" i="4" s="1"/>
  <c r="EA67" i="4"/>
  <c r="DU67" i="4" s="1"/>
  <c r="DV67" i="4" s="1"/>
  <c r="DU66" i="4"/>
  <c r="DV66" i="4" s="1"/>
  <c r="EA65" i="4"/>
  <c r="DU65" i="4" s="1"/>
  <c r="DV65" i="4" s="1"/>
  <c r="DU64" i="4"/>
  <c r="DV64" i="4" s="1"/>
  <c r="EQ15" i="4"/>
  <c r="EA15" i="4"/>
  <c r="DU15" i="4" s="1"/>
  <c r="DV15" i="4" s="1"/>
  <c r="FE15" i="4" s="1"/>
  <c r="DU14" i="4"/>
  <c r="DV14" i="4" s="1"/>
  <c r="EA57" i="4"/>
  <c r="DU57" i="4" s="1"/>
  <c r="DV57" i="4" s="1"/>
  <c r="EA21" i="4"/>
  <c r="DU21" i="4" s="1"/>
  <c r="DV21" i="4" s="1"/>
  <c r="EA63" i="4"/>
  <c r="DU63" i="4" s="1"/>
  <c r="DV63" i="4" s="1"/>
  <c r="EA23" i="4"/>
  <c r="DU23" i="4" s="1"/>
  <c r="DV23" i="4" s="1"/>
  <c r="EA61" i="4"/>
  <c r="DU61" i="4" s="1"/>
  <c r="EA17" i="4"/>
  <c r="DU17" i="4" s="1"/>
  <c r="DV17" i="4" s="1"/>
  <c r="DU16" i="4"/>
  <c r="DV16" i="4" s="1"/>
  <c r="EA53" i="4"/>
  <c r="DU53" i="4" s="1"/>
  <c r="DV53" i="4" s="1"/>
  <c r="EA59" i="4"/>
  <c r="DU59" i="4" s="1"/>
  <c r="DV59" i="4" s="1"/>
  <c r="EA19" i="4"/>
  <c r="DU19" i="4" s="1"/>
  <c r="DV19" i="4" s="1"/>
  <c r="DU18" i="4"/>
  <c r="DV18" i="4" s="1"/>
  <c r="EA27" i="4"/>
  <c r="DU27" i="4" s="1"/>
  <c r="DV27" i="4" s="1"/>
  <c r="EA13" i="4"/>
  <c r="DU13" i="4" s="1"/>
  <c r="DV13" i="4" s="1"/>
  <c r="DU12" i="4"/>
  <c r="DV12" i="4" s="1"/>
  <c r="EA51" i="4"/>
  <c r="DU51" i="4" s="1"/>
  <c r="DV51" i="4" s="1"/>
  <c r="EA29" i="4"/>
  <c r="DU29" i="4" s="1"/>
  <c r="DV29" i="4" s="1"/>
  <c r="EA55" i="4"/>
  <c r="DU55" i="4" s="1"/>
  <c r="DV55" i="4" s="1"/>
  <c r="EM15" i="4"/>
  <c r="CG73" i="4"/>
  <c r="I81" i="3" s="1"/>
  <c r="CW15" i="4"/>
  <c r="CQ15" i="4" s="1"/>
  <c r="CQ14" i="4"/>
  <c r="CR14" i="4" s="1"/>
  <c r="CG77" i="4"/>
  <c r="CG72" i="4"/>
  <c r="F81" i="3" s="1"/>
  <c r="BP53" i="8"/>
  <c r="BF53" i="8"/>
  <c r="BV53" i="8"/>
  <c r="BT53" i="8"/>
  <c r="BS53" i="8"/>
  <c r="BQ53" i="8"/>
  <c r="BQ95" i="8" s="1"/>
  <c r="U62" i="10" s="1"/>
  <c r="BD53" i="8"/>
  <c r="BC53" i="8"/>
  <c r="BR53" i="8"/>
  <c r="BE53" i="8"/>
  <c r="BP61" i="8"/>
  <c r="BS61" i="8"/>
  <c r="BV61" i="8"/>
  <c r="BR61" i="8"/>
  <c r="BQ61" i="8"/>
  <c r="BT61" i="8"/>
  <c r="BF61" i="8"/>
  <c r="BE61" i="8"/>
  <c r="BD61" i="8"/>
  <c r="BC61" i="8"/>
  <c r="BP57" i="8"/>
  <c r="BT57" i="8"/>
  <c r="BV57" i="8"/>
  <c r="BY20" i="8" s="1"/>
  <c r="BS57" i="8"/>
  <c r="BQ57" i="8"/>
  <c r="BF57" i="8"/>
  <c r="BR57" i="8"/>
  <c r="BR119" i="8" s="1"/>
  <c r="U66" i="10" s="1"/>
  <c r="BE57" i="8"/>
  <c r="BD57" i="8"/>
  <c r="BC57" i="8"/>
  <c r="CQ64" i="4"/>
  <c r="CQ68" i="4"/>
  <c r="CQ66" i="4"/>
  <c r="CQ70" i="4"/>
  <c r="CW51" i="4"/>
  <c r="CQ51" i="4" s="1"/>
  <c r="CQ50" i="4"/>
  <c r="CQ52" i="4"/>
  <c r="CW59" i="4"/>
  <c r="CQ30" i="4"/>
  <c r="CW41" i="4"/>
  <c r="CW33" i="4"/>
  <c r="CQ32" i="4"/>
  <c r="CW19" i="4"/>
  <c r="CQ18" i="4"/>
  <c r="CM18" i="4"/>
  <c r="CM76" i="4"/>
  <c r="CM77" i="4"/>
  <c r="CM73" i="4"/>
  <c r="CM74" i="4"/>
  <c r="CM75" i="4"/>
  <c r="CK18" i="4"/>
  <c r="CK75" i="4"/>
  <c r="CK74" i="4"/>
  <c r="CK76" i="4"/>
  <c r="CK73" i="4"/>
  <c r="CK77" i="4"/>
  <c r="EQ34" i="4"/>
  <c r="FC34" i="4"/>
  <c r="EM34" i="4"/>
  <c r="EM67" i="4"/>
  <c r="EQ67" i="4"/>
  <c r="FC67" i="4"/>
  <c r="FC39" i="4"/>
  <c r="EM39" i="4"/>
  <c r="EQ39" i="4"/>
  <c r="CG76" i="4"/>
  <c r="EM66" i="4"/>
  <c r="EQ66" i="4"/>
  <c r="FC66" i="4"/>
  <c r="FC61" i="4"/>
  <c r="EM61" i="4"/>
  <c r="EQ61" i="4"/>
  <c r="CO18" i="4"/>
  <c r="CO77" i="4"/>
  <c r="CO73" i="4"/>
  <c r="CO75" i="4"/>
  <c r="CO76" i="4"/>
  <c r="CO74" i="4"/>
  <c r="FC46" i="4"/>
  <c r="EM46" i="4"/>
  <c r="EQ46" i="4"/>
  <c r="CG75" i="4"/>
  <c r="O81" i="3" s="1"/>
  <c r="EM47" i="4"/>
  <c r="FC47" i="4"/>
  <c r="EQ47" i="4"/>
  <c r="CG74" i="4"/>
  <c r="EQ52" i="4"/>
  <c r="FC52" i="4"/>
  <c r="EM52" i="4"/>
  <c r="FC64" i="4"/>
  <c r="EQ64" i="4"/>
  <c r="EM64" i="4"/>
  <c r="EM68" i="4"/>
  <c r="EQ68" i="4"/>
  <c r="FC68" i="4"/>
  <c r="EQ51" i="4"/>
  <c r="FC71" i="4"/>
  <c r="EQ71" i="4"/>
  <c r="EM71" i="4"/>
  <c r="EQ53" i="4"/>
  <c r="EM53" i="4"/>
  <c r="FC53" i="4"/>
  <c r="EQ62" i="4"/>
  <c r="FC62" i="4"/>
  <c r="EM62" i="4"/>
  <c r="EQ36" i="4"/>
  <c r="FC36" i="4"/>
  <c r="EM36" i="4"/>
  <c r="CI18" i="4"/>
  <c r="CI75" i="4"/>
  <c r="CI76" i="4"/>
  <c r="CI73" i="4"/>
  <c r="CI74" i="4"/>
  <c r="CI77" i="4"/>
  <c r="EQ69" i="4"/>
  <c r="FC69" i="4"/>
  <c r="FE69" i="4" s="1"/>
  <c r="EM69" i="4"/>
  <c r="EM63" i="4"/>
  <c r="EQ63" i="4"/>
  <c r="FC63" i="4"/>
  <c r="FC59" i="4"/>
  <c r="EQ59" i="4"/>
  <c r="EM59" i="4"/>
  <c r="EQ70" i="4"/>
  <c r="FC70" i="4"/>
  <c r="FE70" i="4" s="1"/>
  <c r="EM70" i="4"/>
  <c r="EQ65" i="4"/>
  <c r="FC65" i="4"/>
  <c r="FE65" i="4" s="1"/>
  <c r="EM65" i="4"/>
  <c r="CW17" i="4"/>
  <c r="CQ17" i="4" s="1"/>
  <c r="CQ16" i="4"/>
  <c r="AL14" i="4"/>
  <c r="FB14" i="4" s="1"/>
  <c r="CQ12" i="4"/>
  <c r="X25" i="3"/>
  <c r="X25" i="10"/>
  <c r="X24" i="3"/>
  <c r="X26" i="3"/>
  <c r="X23" i="3"/>
  <c r="X14" i="3"/>
  <c r="X22" i="3"/>
  <c r="X21" i="3"/>
  <c r="X13" i="10"/>
  <c r="X14" i="10"/>
  <c r="CT74" i="8"/>
  <c r="X13" i="3"/>
  <c r="X22" i="10"/>
  <c r="X23" i="10"/>
  <c r="X21" i="10"/>
  <c r="X24" i="10"/>
  <c r="X26" i="10"/>
  <c r="CT75" i="8"/>
  <c r="CT76" i="8"/>
  <c r="CT73" i="8"/>
  <c r="CT77" i="8"/>
  <c r="EQ30" i="8" a="1"/>
  <c r="EQ30" i="8" s="1"/>
  <c r="H30" i="8" s="1"/>
  <c r="EM13" i="4"/>
  <c r="FC13" i="4"/>
  <c r="EM15" i="8"/>
  <c r="EQ12" i="4"/>
  <c r="EM12" i="4"/>
  <c r="FC12" i="4"/>
  <c r="FC18" i="4"/>
  <c r="EM18" i="4"/>
  <c r="EQ18" i="4"/>
  <c r="EM14" i="4"/>
  <c r="FC14" i="4"/>
  <c r="EQ14" i="4"/>
  <c r="FC30" i="4"/>
  <c r="EM30" i="4"/>
  <c r="EQ30" i="4"/>
  <c r="EM17" i="4"/>
  <c r="FC17" i="4"/>
  <c r="FE17" i="4" s="1"/>
  <c r="EQ17" i="4"/>
  <c r="DM21" i="4"/>
  <c r="DN21" i="4" s="1"/>
  <c r="DK21" i="4"/>
  <c r="DI21" i="4"/>
  <c r="DG21" i="4"/>
  <c r="EQ24" i="4"/>
  <c r="EM24" i="4"/>
  <c r="FC24" i="4"/>
  <c r="FC26" i="4"/>
  <c r="EM26" i="4"/>
  <c r="EQ26" i="4"/>
  <c r="FC32" i="4"/>
  <c r="EQ32" i="4"/>
  <c r="EM32" i="4"/>
  <c r="DL14" i="4"/>
  <c r="DS14" i="4"/>
  <c r="DS75" i="4"/>
  <c r="DS77" i="4"/>
  <c r="DS74" i="4"/>
  <c r="DS73" i="4"/>
  <c r="DS76" i="4"/>
  <c r="EQ22" i="4"/>
  <c r="FC22" i="4"/>
  <c r="EM22" i="4"/>
  <c r="EQ33" i="4"/>
  <c r="FC33" i="4"/>
  <c r="FE33" i="4" s="1"/>
  <c r="EM33" i="4"/>
  <c r="EQ23" i="4"/>
  <c r="EM23" i="4"/>
  <c r="FC23" i="4"/>
  <c r="FC16" i="4"/>
  <c r="EQ16" i="4"/>
  <c r="EM16" i="4"/>
  <c r="EQ27" i="4"/>
  <c r="FC27" i="4"/>
  <c r="EM27" i="4"/>
  <c r="DQ14" i="4"/>
  <c r="DQ77" i="4"/>
  <c r="DQ73" i="4"/>
  <c r="DQ75" i="4"/>
  <c r="DQ76" i="4"/>
  <c r="DQ74" i="4"/>
  <c r="EQ14" i="8" a="1"/>
  <c r="EQ14" i="8" s="1"/>
  <c r="H14" i="8" s="1"/>
  <c r="EW15" i="8"/>
  <c r="EY15" i="8" s="1"/>
  <c r="EI15" i="8"/>
  <c r="EQ26" i="8" a="1"/>
  <c r="EQ26" i="8" s="1"/>
  <c r="H26" i="8" s="1"/>
  <c r="EI27" i="8"/>
  <c r="EM19" i="8"/>
  <c r="EV27" i="8"/>
  <c r="EM27" i="8"/>
  <c r="AC18" i="8"/>
  <c r="AA18" i="8"/>
  <c r="AE18" i="8"/>
  <c r="DD18" i="8"/>
  <c r="DF18" i="8"/>
  <c r="DG18" i="8" s="1"/>
  <c r="DJ18" i="8"/>
  <c r="DK18" i="8" s="1"/>
  <c r="DH18" i="8"/>
  <c r="DI18" i="8" s="1"/>
  <c r="AA22" i="8"/>
  <c r="DD22" i="8"/>
  <c r="AE22" i="8"/>
  <c r="DF22" i="8"/>
  <c r="DG22" i="8" s="1"/>
  <c r="DJ22" i="8"/>
  <c r="DK22" i="8" s="1"/>
  <c r="DH22" i="8"/>
  <c r="DI22" i="8" s="1"/>
  <c r="AC22" i="8"/>
  <c r="EW27" i="8"/>
  <c r="EY27" i="8" s="1"/>
  <c r="EV15" i="8"/>
  <c r="EM31" i="8"/>
  <c r="DJ20" i="8"/>
  <c r="DK20" i="8" s="1"/>
  <c r="DH20" i="8"/>
  <c r="DI20" i="8" s="1"/>
  <c r="DF20" i="8"/>
  <c r="DG20" i="8" s="1"/>
  <c r="AA20" i="8"/>
  <c r="AC20" i="8"/>
  <c r="DD20" i="8"/>
  <c r="AE20" i="8"/>
  <c r="EM23" i="8"/>
  <c r="DJ32" i="8"/>
  <c r="DK32" i="8" s="1"/>
  <c r="AA32" i="8"/>
  <c r="DH32" i="8"/>
  <c r="DI32" i="8" s="1"/>
  <c r="DF32" i="8"/>
  <c r="DG32" i="8" s="1"/>
  <c r="DD32" i="8"/>
  <c r="AC32" i="8"/>
  <c r="AE32" i="8"/>
  <c r="DJ25" i="8"/>
  <c r="DK25" i="8" s="1"/>
  <c r="DH25" i="8"/>
  <c r="DI25" i="8" s="1"/>
  <c r="DF25" i="8"/>
  <c r="DG25" i="8" s="1"/>
  <c r="AC25" i="8"/>
  <c r="AA25" i="8"/>
  <c r="DD25" i="8"/>
  <c r="AE25" i="8"/>
  <c r="DN77" i="8"/>
  <c r="DN73" i="8"/>
  <c r="DN75" i="8"/>
  <c r="DN74" i="8"/>
  <c r="DN12" i="8"/>
  <c r="DN76" i="8"/>
  <c r="DJ28" i="8"/>
  <c r="DK28" i="8" s="1"/>
  <c r="DH28" i="8"/>
  <c r="DI28" i="8" s="1"/>
  <c r="DF28" i="8"/>
  <c r="DG28" i="8" s="1"/>
  <c r="AC28" i="8"/>
  <c r="AA28" i="8"/>
  <c r="AE28" i="8"/>
  <c r="DD28" i="8"/>
  <c r="DF13" i="8"/>
  <c r="DG13" i="8" s="1"/>
  <c r="DH13" i="8"/>
  <c r="DI13" i="8" s="1"/>
  <c r="AA13" i="8"/>
  <c r="DJ13" i="8"/>
  <c r="DK13" i="8" s="1"/>
  <c r="AC13" i="8"/>
  <c r="AE13" i="8"/>
  <c r="DD13" i="8"/>
  <c r="DF33" i="8"/>
  <c r="DG33" i="8" s="1"/>
  <c r="DH33" i="8"/>
  <c r="DI33" i="8" s="1"/>
  <c r="AA33" i="8"/>
  <c r="DD33" i="8"/>
  <c r="DJ33" i="8"/>
  <c r="DK33" i="8" s="1"/>
  <c r="AC33" i="8"/>
  <c r="AE33" i="8"/>
  <c r="EM16" i="8"/>
  <c r="EW16" i="8"/>
  <c r="EY16" i="8" s="1"/>
  <c r="EI16" i="8"/>
  <c r="EV16" i="8"/>
  <c r="DF29" i="8"/>
  <c r="DG29" i="8" s="1"/>
  <c r="DH29" i="8"/>
  <c r="DI29" i="8" s="1"/>
  <c r="AA29" i="8"/>
  <c r="AC29" i="8"/>
  <c r="DJ29" i="8"/>
  <c r="DK29" i="8" s="1"/>
  <c r="AE29" i="8"/>
  <c r="DD29" i="8"/>
  <c r="DP77" i="8"/>
  <c r="DP76" i="8"/>
  <c r="DP75" i="8"/>
  <c r="DP73" i="8"/>
  <c r="DP12" i="8"/>
  <c r="DP74" i="8"/>
  <c r="EW31" i="8"/>
  <c r="EY31" i="8" s="1"/>
  <c r="EV31" i="8"/>
  <c r="EI31" i="8"/>
  <c r="EM24" i="8"/>
  <c r="EV24" i="8"/>
  <c r="EI24" i="8"/>
  <c r="EW24" i="8"/>
  <c r="EY24" i="8" s="1"/>
  <c r="DJ12" i="8"/>
  <c r="DF12" i="8"/>
  <c r="AC12" i="8"/>
  <c r="AA12" i="8"/>
  <c r="DH12" i="8"/>
  <c r="AE12" i="8"/>
  <c r="DD12" i="8"/>
  <c r="EV19" i="8"/>
  <c r="EI19" i="8"/>
  <c r="EW19" i="8"/>
  <c r="EY19" i="8" s="1"/>
  <c r="DF21" i="8"/>
  <c r="DG21" i="8" s="1"/>
  <c r="DH21" i="8"/>
  <c r="DI21" i="8" s="1"/>
  <c r="AE21" i="8"/>
  <c r="DJ21" i="8"/>
  <c r="DK21" i="8" s="1"/>
  <c r="AA21" i="8"/>
  <c r="AC21" i="8"/>
  <c r="DD21" i="8"/>
  <c r="EV23" i="8"/>
  <c r="EI23" i="8"/>
  <c r="EW23" i="8"/>
  <c r="EY23" i="8" s="1"/>
  <c r="DJ17" i="8"/>
  <c r="DK17" i="8" s="1"/>
  <c r="DF17" i="8"/>
  <c r="DG17" i="8" s="1"/>
  <c r="DH17" i="8"/>
  <c r="DI17" i="8" s="1"/>
  <c r="AA17" i="8"/>
  <c r="AC17" i="8"/>
  <c r="DD17" i="8"/>
  <c r="AE17" i="8"/>
  <c r="H50" i="8"/>
  <c r="FE39" i="4" l="1"/>
  <c r="FC35" i="4"/>
  <c r="FC51" i="4"/>
  <c r="FC43" i="4"/>
  <c r="BQ115" i="8"/>
  <c r="O64" i="10" s="1"/>
  <c r="BS111" i="8"/>
  <c r="BQ107" i="8"/>
  <c r="U63" i="10" s="1"/>
  <c r="BP83" i="8"/>
  <c r="U58" i="10" s="1"/>
  <c r="BQ119" i="8"/>
  <c r="U64" i="10" s="1"/>
  <c r="BD83" i="8"/>
  <c r="U32" i="10" s="1"/>
  <c r="BP101" i="8"/>
  <c r="L60" i="10" s="1"/>
  <c r="BC73" i="8"/>
  <c r="B17" i="8"/>
  <c r="EM37" i="4"/>
  <c r="DU62" i="4"/>
  <c r="DV62" i="4" s="1"/>
  <c r="DU56" i="4"/>
  <c r="DV56" i="4" s="1"/>
  <c r="FC38" i="4"/>
  <c r="EQ43" i="4"/>
  <c r="EQ19" i="4"/>
  <c r="FC19" i="4"/>
  <c r="EM19" i="4"/>
  <c r="CQ33" i="4"/>
  <c r="CQ61" i="4"/>
  <c r="CR61" i="4" s="1"/>
  <c r="CQ56" i="4"/>
  <c r="EQ41" i="4"/>
  <c r="BS105" i="8"/>
  <c r="R68" i="10" s="1"/>
  <c r="EA73" i="4"/>
  <c r="EQ38" i="4"/>
  <c r="EM56" i="4"/>
  <c r="FC60" i="4"/>
  <c r="EM48" i="4"/>
  <c r="FC37" i="4"/>
  <c r="EM45" i="4"/>
  <c r="EM43" i="4"/>
  <c r="EV43" i="4" s="1" a="1"/>
  <c r="EV43" i="4" s="1"/>
  <c r="H43" i="4" s="1"/>
  <c r="EM41" i="4"/>
  <c r="EM49" i="4"/>
  <c r="FC57" i="4"/>
  <c r="FE57" i="4" s="1"/>
  <c r="FC45" i="4"/>
  <c r="FE45" i="4" s="1"/>
  <c r="EQ49" i="4"/>
  <c r="EM57" i="4"/>
  <c r="EV57" i="4" s="1" a="1"/>
  <c r="EV57" i="4" s="1"/>
  <c r="H57" i="4" s="1"/>
  <c r="EQ56" i="4"/>
  <c r="EQ45" i="4"/>
  <c r="R81" i="3"/>
  <c r="CQ20" i="4"/>
  <c r="EQ60" i="4"/>
  <c r="FC56" i="4"/>
  <c r="EM55" i="4"/>
  <c r="EV55" i="4" s="1" a="1"/>
  <c r="EV55" i="4" s="1"/>
  <c r="H55" i="4" s="1"/>
  <c r="EM38" i="4"/>
  <c r="EQ48" i="4"/>
  <c r="FC55" i="4"/>
  <c r="CQ37" i="4"/>
  <c r="CR37" i="4" s="1"/>
  <c r="CQ59" i="4"/>
  <c r="CR59" i="4" s="1"/>
  <c r="EM60" i="4"/>
  <c r="CQ46" i="4"/>
  <c r="EQ29" i="4"/>
  <c r="EQ54" i="4"/>
  <c r="EQ25" i="4"/>
  <c r="FC28" i="4"/>
  <c r="FC50" i="4"/>
  <c r="FE27" i="4"/>
  <c r="EQ37" i="4"/>
  <c r="EV37" i="4" s="1" a="1"/>
  <c r="EV37" i="4" s="1"/>
  <c r="H37" i="4" s="1"/>
  <c r="R85" i="3"/>
  <c r="CQ58" i="4"/>
  <c r="CR58" i="4" s="1"/>
  <c r="CQ31" i="4"/>
  <c r="CR31" i="4" s="1"/>
  <c r="EQ35" i="4"/>
  <c r="R82" i="3"/>
  <c r="R83" i="3"/>
  <c r="R84" i="3"/>
  <c r="CQ22" i="4"/>
  <c r="CR22" i="4" s="1"/>
  <c r="EM29" i="4"/>
  <c r="FC29" i="4"/>
  <c r="FE29" i="4" s="1"/>
  <c r="CQ19" i="4"/>
  <c r="CR19" i="4" s="1"/>
  <c r="CQ27" i="4"/>
  <c r="CR27" i="4" s="1"/>
  <c r="CQ40" i="4"/>
  <c r="CR40" i="4" s="1"/>
  <c r="CQ24" i="4"/>
  <c r="CR24" i="4" s="1"/>
  <c r="CQ34" i="4"/>
  <c r="CR34" i="4" s="1"/>
  <c r="CQ41" i="4"/>
  <c r="CR41" i="4" s="1"/>
  <c r="CQ43" i="4"/>
  <c r="CR43" i="4" s="1"/>
  <c r="CQ55" i="4"/>
  <c r="AL55" i="4" s="1"/>
  <c r="FB55" i="4" s="1"/>
  <c r="CQ36" i="4"/>
  <c r="CR36" i="4" s="1"/>
  <c r="CQ53" i="4"/>
  <c r="AL53" i="4" s="1"/>
  <c r="FB53" i="4" s="1"/>
  <c r="CQ28" i="4"/>
  <c r="CR28" i="4" s="1"/>
  <c r="CQ26" i="4"/>
  <c r="CR26" i="4" s="1"/>
  <c r="CQ54" i="4"/>
  <c r="CR54" i="4" s="1"/>
  <c r="EQ50" i="4"/>
  <c r="FC44" i="4"/>
  <c r="EM35" i="4"/>
  <c r="FC58" i="4"/>
  <c r="EM44" i="4"/>
  <c r="EV44" i="4" s="1" a="1"/>
  <c r="EV44" i="4" s="1"/>
  <c r="H44" i="4" s="1"/>
  <c r="EM50" i="4"/>
  <c r="DU50" i="4"/>
  <c r="DV50" i="4" s="1"/>
  <c r="DU26" i="4"/>
  <c r="DV26" i="4" s="1"/>
  <c r="EA77" i="4"/>
  <c r="U101" i="3" s="1"/>
  <c r="FC42" i="4"/>
  <c r="DU54" i="4"/>
  <c r="DV54" i="4" s="1"/>
  <c r="EA76" i="4"/>
  <c r="R98" i="10" s="1"/>
  <c r="EA74" i="4"/>
  <c r="L98" i="10" s="1"/>
  <c r="EM42" i="4"/>
  <c r="EV42" i="4" s="1" a="1"/>
  <c r="EV42" i="4" s="1"/>
  <c r="H42" i="4" s="1"/>
  <c r="FC54" i="4"/>
  <c r="FE54" i="4" s="1"/>
  <c r="EM28" i="4"/>
  <c r="FC25" i="4"/>
  <c r="FE25" i="4" s="1"/>
  <c r="EA75" i="4"/>
  <c r="O101" i="3" s="1"/>
  <c r="DU37" i="4"/>
  <c r="DV37" i="4" s="1"/>
  <c r="DU30" i="4"/>
  <c r="DV30" i="4" s="1"/>
  <c r="FE30" i="4" s="1"/>
  <c r="DU38" i="4"/>
  <c r="DV38" i="4" s="1"/>
  <c r="EM25" i="4"/>
  <c r="EM58" i="4"/>
  <c r="EV58" i="4" s="1" a="1"/>
  <c r="EV58" i="4" s="1"/>
  <c r="H58" i="4" s="1"/>
  <c r="EM54" i="4"/>
  <c r="EQ28" i="4"/>
  <c r="FE35" i="4"/>
  <c r="DU28" i="4"/>
  <c r="DV28" i="4" s="1"/>
  <c r="DU22" i="4"/>
  <c r="DV22" i="4" s="1"/>
  <c r="FE22" i="4" s="1"/>
  <c r="DU20" i="4"/>
  <c r="DV20" i="4" s="1"/>
  <c r="FE49" i="4"/>
  <c r="EM40" i="4"/>
  <c r="EM20" i="4"/>
  <c r="EV20" i="4" s="1" a="1"/>
  <c r="EV20" i="4" s="1"/>
  <c r="H20" i="4" s="1"/>
  <c r="EQ40" i="4"/>
  <c r="DU40" i="4"/>
  <c r="DV40" i="4" s="1"/>
  <c r="FC20" i="4"/>
  <c r="DJ74" i="4"/>
  <c r="L93" i="3" s="1"/>
  <c r="FE47" i="4"/>
  <c r="FC40" i="4"/>
  <c r="DL76" i="4"/>
  <c r="R92" i="10" s="1"/>
  <c r="EV15" i="4" a="1"/>
  <c r="EV15" i="4" s="1"/>
  <c r="H15" i="4" s="1"/>
  <c r="FE41" i="4"/>
  <c r="DU52" i="4"/>
  <c r="DV52" i="4" s="1"/>
  <c r="FE52" i="4" s="1"/>
  <c r="DU48" i="4"/>
  <c r="DV48" i="4" s="1"/>
  <c r="FE48" i="4" s="1"/>
  <c r="DU42" i="4"/>
  <c r="DV42" i="4" s="1"/>
  <c r="DU32" i="4"/>
  <c r="DV32" i="4" s="1"/>
  <c r="FE32" i="4" s="1"/>
  <c r="DU46" i="4"/>
  <c r="DV46" i="4" s="1"/>
  <c r="FE46" i="4" s="1"/>
  <c r="FE59" i="4"/>
  <c r="FE51" i="4"/>
  <c r="DU60" i="4"/>
  <c r="DV60" i="4" s="1"/>
  <c r="DU58" i="4"/>
  <c r="DV58" i="4" s="1"/>
  <c r="DU24" i="4"/>
  <c r="DV24" i="4" s="1"/>
  <c r="FE24" i="4" s="1"/>
  <c r="DU44" i="4"/>
  <c r="DV44" i="4" s="1"/>
  <c r="DU34" i="4"/>
  <c r="DV34" i="4" s="1"/>
  <c r="FE34" i="4" s="1"/>
  <c r="DU36" i="4"/>
  <c r="B19" i="4"/>
  <c r="B20" i="4" s="1"/>
  <c r="CQ25" i="4"/>
  <c r="CW35" i="4"/>
  <c r="CQ35" i="4" s="1"/>
  <c r="CR35" i="4" s="1"/>
  <c r="BS101" i="8"/>
  <c r="L68" i="10" s="1"/>
  <c r="EV65" i="4" a="1"/>
  <c r="EV65" i="4" s="1"/>
  <c r="H65" i="4" s="1"/>
  <c r="EV59" i="4" a="1"/>
  <c r="EV59" i="4" s="1"/>
  <c r="H59" i="4" s="1"/>
  <c r="EV17" i="4" a="1"/>
  <c r="EV17" i="4" s="1"/>
  <c r="H17" i="4" s="1"/>
  <c r="EV18" i="4" a="1"/>
  <c r="EV18" i="4" s="1"/>
  <c r="H18" i="4" s="1"/>
  <c r="EV16" i="4" a="1"/>
  <c r="EV16" i="4" s="1"/>
  <c r="H16" i="4" s="1"/>
  <c r="EV23" i="4" a="1"/>
  <c r="EV23" i="4" s="1"/>
  <c r="H23" i="4" s="1"/>
  <c r="EV32" i="4" a="1"/>
  <c r="EV32" i="4" s="1"/>
  <c r="H32" i="4" s="1"/>
  <c r="EV53" i="4" a="1"/>
  <c r="EV53" i="4" s="1"/>
  <c r="H53" i="4" s="1"/>
  <c r="EV51" i="4" a="1"/>
  <c r="EV51" i="4" s="1"/>
  <c r="H51" i="4" s="1"/>
  <c r="EV46" i="4" a="1"/>
  <c r="EV46" i="4" s="1"/>
  <c r="H46" i="4" s="1"/>
  <c r="EV66" i="4" a="1"/>
  <c r="EV66" i="4" s="1"/>
  <c r="H66" i="4" s="1"/>
  <c r="EV39" i="4" a="1"/>
  <c r="EV39" i="4" s="1"/>
  <c r="H39" i="4" s="1"/>
  <c r="EV33" i="4" a="1"/>
  <c r="EV33" i="4" s="1"/>
  <c r="H33" i="4" s="1"/>
  <c r="EV24" i="4" a="1"/>
  <c r="EV24" i="4" s="1"/>
  <c r="H24" i="4" s="1"/>
  <c r="EV70" i="4" a="1"/>
  <c r="EV70" i="4" s="1"/>
  <c r="H70" i="4" s="1"/>
  <c r="EV69" i="4" a="1"/>
  <c r="EV69" i="4" s="1"/>
  <c r="H69" i="4" s="1"/>
  <c r="EV64" i="4" a="1"/>
  <c r="EV64" i="4" s="1"/>
  <c r="H64" i="4" s="1"/>
  <c r="EV34" i="4" a="1"/>
  <c r="EV34" i="4" s="1"/>
  <c r="H34" i="4" s="1"/>
  <c r="EV31" i="4" a="1"/>
  <c r="EV31" i="4" s="1"/>
  <c r="H31" i="4" s="1"/>
  <c r="EV30" i="4" a="1"/>
  <c r="EV30" i="4" s="1"/>
  <c r="H30" i="4" s="1"/>
  <c r="EV14" i="4" a="1"/>
  <c r="EV14" i="4" s="1"/>
  <c r="EV62" i="4" a="1"/>
  <c r="EV62" i="4" s="1"/>
  <c r="H62" i="4" s="1"/>
  <c r="EV52" i="4" a="1"/>
  <c r="EV52" i="4" s="1"/>
  <c r="H52" i="4" s="1"/>
  <c r="EV47" i="4" a="1"/>
  <c r="EV47" i="4" s="1"/>
  <c r="H47" i="4" s="1"/>
  <c r="EV26" i="4" a="1"/>
  <c r="EV26" i="4" s="1"/>
  <c r="H26" i="4" s="1"/>
  <c r="EV13" i="4" a="1"/>
  <c r="EV13" i="4" s="1"/>
  <c r="H13" i="4" s="1"/>
  <c r="EV61" i="4" a="1"/>
  <c r="EV61" i="4" s="1"/>
  <c r="H61" i="4" s="1"/>
  <c r="EV27" i="4" a="1"/>
  <c r="EV27" i="4" s="1"/>
  <c r="H27" i="4" s="1"/>
  <c r="EV22" i="4" a="1"/>
  <c r="EV22" i="4" s="1"/>
  <c r="H22" i="4" s="1"/>
  <c r="EV12" i="4" a="1"/>
  <c r="EV12" i="4" s="1"/>
  <c r="H12" i="4" s="1"/>
  <c r="EV63" i="4" a="1"/>
  <c r="EV63" i="4" s="1"/>
  <c r="H63" i="4" s="1"/>
  <c r="EV36" i="4" a="1"/>
  <c r="EV36" i="4" s="1"/>
  <c r="H36" i="4" s="1"/>
  <c r="EV71" i="4" a="1"/>
  <c r="EV71" i="4" s="1"/>
  <c r="H71" i="4" s="1"/>
  <c r="EV68" i="4" a="1"/>
  <c r="EV68" i="4" s="1"/>
  <c r="H68" i="4" s="1"/>
  <c r="EV67" i="4" a="1"/>
  <c r="EV67" i="4" s="1"/>
  <c r="H67" i="4" s="1"/>
  <c r="EV19" i="4" a="1"/>
  <c r="EV19" i="4" s="1"/>
  <c r="H19" i="4" s="1"/>
  <c r="CQ62" i="4"/>
  <c r="CR62" i="4" s="1"/>
  <c r="CQ44" i="4"/>
  <c r="FE19" i="4"/>
  <c r="CQ48" i="4"/>
  <c r="CR48" i="4" s="1"/>
  <c r="CW76" i="4"/>
  <c r="O78" i="10"/>
  <c r="DJ77" i="4"/>
  <c r="U93" i="3" s="1"/>
  <c r="DU68" i="4"/>
  <c r="DV68" i="4" s="1"/>
  <c r="FE68" i="4" s="1"/>
  <c r="DN79" i="4"/>
  <c r="L95" i="10" s="1"/>
  <c r="BI77" i="4"/>
  <c r="BI83" i="4"/>
  <c r="BI73" i="4"/>
  <c r="BI79" i="4"/>
  <c r="BI75" i="4"/>
  <c r="BI81" i="4"/>
  <c r="BU95" i="4"/>
  <c r="BU87" i="4"/>
  <c r="BU111" i="4"/>
  <c r="BU91" i="4"/>
  <c r="BU89" i="4"/>
  <c r="BU93" i="4"/>
  <c r="BU119" i="4"/>
  <c r="BU113" i="4"/>
  <c r="BU117" i="4"/>
  <c r="BU115" i="4"/>
  <c r="BV91" i="4"/>
  <c r="BV101" i="4"/>
  <c r="BV111" i="4"/>
  <c r="BV93" i="4"/>
  <c r="BV89" i="4"/>
  <c r="BV99" i="4"/>
  <c r="BV95" i="4"/>
  <c r="BV87" i="4"/>
  <c r="BV103" i="4"/>
  <c r="BV117" i="4"/>
  <c r="BV115" i="4"/>
  <c r="BV107" i="4"/>
  <c r="BV113" i="4"/>
  <c r="BV105" i="4"/>
  <c r="BV119" i="4"/>
  <c r="BS99" i="4"/>
  <c r="BS109" i="4"/>
  <c r="BS73" i="4"/>
  <c r="BS93" i="4"/>
  <c r="BS83" i="4"/>
  <c r="BS117" i="4"/>
  <c r="BS81" i="4"/>
  <c r="BS91" i="4"/>
  <c r="BS111" i="4"/>
  <c r="BS105" i="4"/>
  <c r="BS75" i="4"/>
  <c r="BS77" i="4"/>
  <c r="BS103" i="4"/>
  <c r="BS119" i="4"/>
  <c r="BS85" i="4"/>
  <c r="BS107" i="4"/>
  <c r="BS79" i="4"/>
  <c r="BS87" i="4"/>
  <c r="BS95" i="4"/>
  <c r="BS115" i="4"/>
  <c r="BS89" i="4"/>
  <c r="BS97" i="4"/>
  <c r="BS113" i="4"/>
  <c r="BS101" i="4"/>
  <c r="BH75" i="4"/>
  <c r="BH79" i="4"/>
  <c r="BH83" i="4"/>
  <c r="BH77" i="4"/>
  <c r="BH73" i="4"/>
  <c r="BH81" i="4"/>
  <c r="BF77" i="4"/>
  <c r="BF79" i="4"/>
  <c r="BF81" i="4"/>
  <c r="BF73" i="4"/>
  <c r="BF75" i="4"/>
  <c r="BF83" i="4"/>
  <c r="BG79" i="4"/>
  <c r="BG75" i="4"/>
  <c r="BG73" i="4"/>
  <c r="BG83" i="4"/>
  <c r="BG81" i="4"/>
  <c r="BG77" i="4"/>
  <c r="BW93" i="4"/>
  <c r="BW101" i="4"/>
  <c r="BW103" i="4"/>
  <c r="BW111" i="4"/>
  <c r="BW91" i="4"/>
  <c r="BW87" i="4"/>
  <c r="BW115" i="4"/>
  <c r="BW119" i="4"/>
  <c r="BW89" i="4"/>
  <c r="BW95" i="4"/>
  <c r="BW107" i="4"/>
  <c r="BW99" i="4"/>
  <c r="BW105" i="4"/>
  <c r="BW117" i="4"/>
  <c r="BW113" i="4"/>
  <c r="CB22" i="4"/>
  <c r="CB42" i="4"/>
  <c r="CB60" i="4"/>
  <c r="CB68" i="4"/>
  <c r="CB63" i="4"/>
  <c r="CB50" i="4"/>
  <c r="CB16" i="4"/>
  <c r="CB53" i="4"/>
  <c r="CB36" i="4"/>
  <c r="CB41" i="4"/>
  <c r="CB15" i="4"/>
  <c r="CB52" i="4"/>
  <c r="CB27" i="4"/>
  <c r="CB14" i="4"/>
  <c r="CB59" i="4"/>
  <c r="CB56" i="4"/>
  <c r="CB40" i="4"/>
  <c r="CB21" i="4"/>
  <c r="CB49" i="4"/>
  <c r="CB46" i="4"/>
  <c r="CB32" i="4"/>
  <c r="CB43" i="4"/>
  <c r="CB51" i="4"/>
  <c r="CB20" i="4"/>
  <c r="CB38" i="4"/>
  <c r="CB33" i="4"/>
  <c r="CB62" i="4"/>
  <c r="CB44" i="4"/>
  <c r="CB24" i="4"/>
  <c r="CB35" i="4"/>
  <c r="CB37" i="4"/>
  <c r="CB71" i="4"/>
  <c r="CB23" i="4"/>
  <c r="CB66" i="4"/>
  <c r="CB31" i="4"/>
  <c r="CB65" i="4"/>
  <c r="CB34" i="4"/>
  <c r="CB30" i="4"/>
  <c r="CB28" i="4"/>
  <c r="CB61" i="4"/>
  <c r="CB19" i="4"/>
  <c r="CB29" i="4"/>
  <c r="CB45" i="4"/>
  <c r="CB25" i="4"/>
  <c r="CB69" i="4"/>
  <c r="CB58" i="4"/>
  <c r="CB54" i="4"/>
  <c r="CB57" i="4"/>
  <c r="CB17" i="4"/>
  <c r="CB12" i="4"/>
  <c r="CB70" i="4"/>
  <c r="CB18" i="4"/>
  <c r="CB48" i="4"/>
  <c r="CB13" i="4"/>
  <c r="CB67" i="4"/>
  <c r="CB64" i="4"/>
  <c r="CC64" i="4" s="1"/>
  <c r="CB47" i="4"/>
  <c r="CB26" i="4"/>
  <c r="CB55" i="4"/>
  <c r="CB39" i="4"/>
  <c r="BT101" i="4"/>
  <c r="BT89" i="4"/>
  <c r="BT103" i="4"/>
  <c r="BT115" i="4"/>
  <c r="BT95" i="4"/>
  <c r="BT119" i="4"/>
  <c r="BT93" i="4"/>
  <c r="BT113" i="4"/>
  <c r="BT87" i="4"/>
  <c r="BT105" i="4"/>
  <c r="BT117" i="4"/>
  <c r="BT107" i="4"/>
  <c r="BT99" i="4"/>
  <c r="BT91" i="4"/>
  <c r="BT111" i="4"/>
  <c r="CW73" i="4"/>
  <c r="F83" i="10" s="1"/>
  <c r="I78" i="10"/>
  <c r="CW74" i="4"/>
  <c r="L83" i="10" s="1"/>
  <c r="CW77" i="4"/>
  <c r="U83" i="10" s="1"/>
  <c r="CW75" i="4"/>
  <c r="O86" i="3" s="1"/>
  <c r="EQ27" i="8" a="1"/>
  <c r="EQ27" i="8" s="1"/>
  <c r="H27" i="8" s="1"/>
  <c r="FE55" i="4"/>
  <c r="AL31" i="4"/>
  <c r="FB31" i="4" s="1"/>
  <c r="DV31" i="4"/>
  <c r="FE31" i="4" s="1"/>
  <c r="FE26" i="4"/>
  <c r="FE71" i="4"/>
  <c r="FE64" i="4"/>
  <c r="FE43" i="4"/>
  <c r="DN76" i="4"/>
  <c r="R97" i="3" s="1"/>
  <c r="U78" i="10"/>
  <c r="DN74" i="4"/>
  <c r="L97" i="3" s="1"/>
  <c r="DN75" i="4"/>
  <c r="O97" i="3" s="1"/>
  <c r="DN78" i="4"/>
  <c r="F95" i="10" s="1"/>
  <c r="BC77" i="8"/>
  <c r="L31" i="10" s="1"/>
  <c r="BT111" i="8"/>
  <c r="BD81" i="8"/>
  <c r="R32" i="10" s="1"/>
  <c r="BE81" i="8"/>
  <c r="R33" i="10" s="1"/>
  <c r="BF77" i="8"/>
  <c r="L34" i="10" s="1"/>
  <c r="BR115" i="8"/>
  <c r="O66" i="10" s="1"/>
  <c r="BY36" i="8"/>
  <c r="BY59" i="8"/>
  <c r="BY44" i="8"/>
  <c r="BC83" i="8"/>
  <c r="U31" i="10" s="1"/>
  <c r="BE79" i="8"/>
  <c r="O33" i="10" s="1"/>
  <c r="BF81" i="8"/>
  <c r="R34" i="10" s="1"/>
  <c r="BD77" i="8"/>
  <c r="L32" i="10" s="1"/>
  <c r="BQ117" i="8"/>
  <c r="R64" i="10" s="1"/>
  <c r="BY21" i="8"/>
  <c r="BZ20" i="8" s="1"/>
  <c r="BR95" i="8"/>
  <c r="U65" i="10" s="1"/>
  <c r="BR113" i="8"/>
  <c r="L66" i="10" s="1"/>
  <c r="BR89" i="8"/>
  <c r="L65" i="10" s="1"/>
  <c r="BR87" i="8"/>
  <c r="I65" i="10" s="1"/>
  <c r="BS103" i="8"/>
  <c r="O68" i="10" s="1"/>
  <c r="BS107" i="8"/>
  <c r="U68" i="10" s="1"/>
  <c r="BS115" i="8"/>
  <c r="O69" i="10" s="1"/>
  <c r="BS117" i="8"/>
  <c r="R69" i="10" s="1"/>
  <c r="BR111" i="8"/>
  <c r="I66" i="10" s="1"/>
  <c r="BS87" i="8"/>
  <c r="I67" i="10" s="1"/>
  <c r="BQ91" i="8"/>
  <c r="O62" i="10" s="1"/>
  <c r="BP99" i="8"/>
  <c r="I60" i="10" s="1"/>
  <c r="FE62" i="4"/>
  <c r="FE23" i="4"/>
  <c r="FE12" i="4"/>
  <c r="FE66" i="4"/>
  <c r="FE18" i="4"/>
  <c r="FE13" i="4"/>
  <c r="FE53" i="4"/>
  <c r="DV61" i="4"/>
  <c r="FE61" i="4" s="1"/>
  <c r="AL61" i="4"/>
  <c r="FB61" i="4" s="1"/>
  <c r="DL81" i="4"/>
  <c r="R93" i="10" s="1"/>
  <c r="DN77" i="4"/>
  <c r="U94" i="10" s="1"/>
  <c r="FE16" i="4"/>
  <c r="FE56" i="4"/>
  <c r="DN81" i="4"/>
  <c r="R95" i="10" s="1"/>
  <c r="FE63" i="4"/>
  <c r="FE67" i="4"/>
  <c r="F78" i="10"/>
  <c r="R78" i="10"/>
  <c r="DJ79" i="4"/>
  <c r="L94" i="3" s="1"/>
  <c r="CR15" i="4"/>
  <c r="AL15" i="4"/>
  <c r="FB15" i="4" s="1"/>
  <c r="I72" i="10"/>
  <c r="BQ89" i="8"/>
  <c r="L62" i="10" s="1"/>
  <c r="BQ103" i="8"/>
  <c r="O63" i="10" s="1"/>
  <c r="BR91" i="8"/>
  <c r="O65" i="10" s="1"/>
  <c r="BS95" i="8"/>
  <c r="U67" i="10" s="1"/>
  <c r="BS119" i="8"/>
  <c r="U69" i="10" s="1"/>
  <c r="BE73" i="8"/>
  <c r="BC79" i="8"/>
  <c r="O31" i="10" s="1"/>
  <c r="BY63" i="8"/>
  <c r="BY33" i="8"/>
  <c r="BY65" i="8"/>
  <c r="BY66" i="8"/>
  <c r="BD79" i="8"/>
  <c r="O32" i="10" s="1"/>
  <c r="BP115" i="8"/>
  <c r="O61" i="10" s="1"/>
  <c r="BP91" i="8"/>
  <c r="O59" i="10" s="1"/>
  <c r="BP103" i="8"/>
  <c r="O60" i="10" s="1"/>
  <c r="BP79" i="8"/>
  <c r="O58" i="10" s="1"/>
  <c r="BP119" i="8"/>
  <c r="U61" i="10" s="1"/>
  <c r="BP87" i="8"/>
  <c r="I59" i="10" s="1"/>
  <c r="BP105" i="8"/>
  <c r="R60" i="10" s="1"/>
  <c r="BP95" i="8"/>
  <c r="U59" i="10" s="1"/>
  <c r="BP85" i="8"/>
  <c r="BP117" i="8"/>
  <c r="R61" i="10" s="1"/>
  <c r="BP93" i="8"/>
  <c r="R59" i="10" s="1"/>
  <c r="BP73" i="8"/>
  <c r="BP111" i="8"/>
  <c r="I61" i="10" s="1"/>
  <c r="BP107" i="8"/>
  <c r="U60" i="10" s="1"/>
  <c r="BP75" i="8"/>
  <c r="I58" i="10" s="1"/>
  <c r="BP89" i="8"/>
  <c r="L59" i="10" s="1"/>
  <c r="BP81" i="8"/>
  <c r="R58" i="10" s="1"/>
  <c r="BP113" i="8"/>
  <c r="L61" i="10" s="1"/>
  <c r="BP77" i="8"/>
  <c r="L58" i="10" s="1"/>
  <c r="BP97" i="8"/>
  <c r="I69" i="10"/>
  <c r="BT101" i="8"/>
  <c r="L71" i="10" s="1"/>
  <c r="BT95" i="8"/>
  <c r="U70" i="10" s="1"/>
  <c r="BT117" i="8"/>
  <c r="R72" i="10" s="1"/>
  <c r="BT91" i="8"/>
  <c r="O70" i="10" s="1"/>
  <c r="BQ93" i="8"/>
  <c r="R62" i="10" s="1"/>
  <c r="BQ101" i="8"/>
  <c r="L63" i="10" s="1"/>
  <c r="BR93" i="8"/>
  <c r="R65" i="10" s="1"/>
  <c r="BS93" i="8"/>
  <c r="R67" i="10" s="1"/>
  <c r="BS99" i="8"/>
  <c r="BE77" i="8"/>
  <c r="L33" i="10" s="1"/>
  <c r="BF79" i="8"/>
  <c r="O34" i="10" s="1"/>
  <c r="BT93" i="8"/>
  <c r="R70" i="10" s="1"/>
  <c r="BT99" i="8"/>
  <c r="BT119" i="8"/>
  <c r="U72" i="10" s="1"/>
  <c r="BT103" i="8"/>
  <c r="O71" i="10" s="1"/>
  <c r="BQ105" i="8"/>
  <c r="R63" i="10" s="1"/>
  <c r="BQ99" i="8"/>
  <c r="BC81" i="8"/>
  <c r="R31" i="10" s="1"/>
  <c r="BR117" i="8"/>
  <c r="R66" i="10" s="1"/>
  <c r="BS113" i="8"/>
  <c r="L69" i="10" s="1"/>
  <c r="BS91" i="8"/>
  <c r="O67" i="10" s="1"/>
  <c r="BS89" i="8"/>
  <c r="L67" i="10" s="1"/>
  <c r="BP109" i="8"/>
  <c r="BE75" i="8"/>
  <c r="I33" i="10" s="1"/>
  <c r="BE83" i="8"/>
  <c r="U33" i="10" s="1"/>
  <c r="BF75" i="8"/>
  <c r="I34" i="10" s="1"/>
  <c r="BF83" i="8"/>
  <c r="U34" i="10" s="1"/>
  <c r="BT107" i="8"/>
  <c r="U71" i="10" s="1"/>
  <c r="BT89" i="8"/>
  <c r="L70" i="10" s="1"/>
  <c r="BT113" i="8"/>
  <c r="L72" i="10" s="1"/>
  <c r="BT115" i="8"/>
  <c r="O72" i="10" s="1"/>
  <c r="BY35" i="8"/>
  <c r="BY19" i="8"/>
  <c r="BY60" i="8"/>
  <c r="BD75" i="8"/>
  <c r="I32" i="10" s="1"/>
  <c r="BC75" i="8"/>
  <c r="I31" i="10" s="1"/>
  <c r="BQ111" i="8"/>
  <c r="I64" i="10" s="1"/>
  <c r="BQ87" i="8"/>
  <c r="I62" i="10" s="1"/>
  <c r="BQ113" i="8"/>
  <c r="L64" i="10" s="1"/>
  <c r="BF73" i="8"/>
  <c r="BT87" i="8"/>
  <c r="BT105" i="8"/>
  <c r="R71" i="10" s="1"/>
  <c r="BY49" i="8"/>
  <c r="BY30" i="8"/>
  <c r="BY14" i="8"/>
  <c r="BD73" i="8"/>
  <c r="BY56" i="8"/>
  <c r="BY12" i="8"/>
  <c r="BY42" i="8"/>
  <c r="BY37" i="8"/>
  <c r="BY13" i="8"/>
  <c r="BY55" i="8"/>
  <c r="BY24" i="8"/>
  <c r="BY40" i="8"/>
  <c r="BY23" i="8"/>
  <c r="BY18" i="8"/>
  <c r="BY29" i="8"/>
  <c r="BY25" i="8"/>
  <c r="BY41" i="8"/>
  <c r="BY47" i="8"/>
  <c r="BY27" i="8"/>
  <c r="BY22" i="8"/>
  <c r="BY39" i="8"/>
  <c r="BY61" i="8"/>
  <c r="BY50" i="8"/>
  <c r="BY68" i="8"/>
  <c r="BY64" i="8"/>
  <c r="BY32" i="8"/>
  <c r="BZ32" i="8" s="1"/>
  <c r="BY45" i="8"/>
  <c r="BY54" i="8"/>
  <c r="BY17" i="8"/>
  <c r="BY71" i="8"/>
  <c r="BY51" i="8"/>
  <c r="BY58" i="8"/>
  <c r="BY31" i="8"/>
  <c r="BY28" i="8"/>
  <c r="BY53" i="8"/>
  <c r="BY48" i="8"/>
  <c r="BY43" i="8"/>
  <c r="BY15" i="8"/>
  <c r="BY67" i="8"/>
  <c r="BY57" i="8"/>
  <c r="BY52" i="8"/>
  <c r="BY62" i="8"/>
  <c r="BY16" i="8"/>
  <c r="BY26" i="8"/>
  <c r="BY70" i="8"/>
  <c r="BY38" i="8"/>
  <c r="BY34" i="8"/>
  <c r="BZ34" i="8" s="1"/>
  <c r="BY69" i="8"/>
  <c r="BZ68" i="8" s="1"/>
  <c r="BY46" i="8"/>
  <c r="F31" i="10"/>
  <c r="CR68" i="4"/>
  <c r="AL68" i="4"/>
  <c r="FB68" i="4" s="1"/>
  <c r="CR70" i="4"/>
  <c r="AL70" i="4"/>
  <c r="FB70" i="4" s="1"/>
  <c r="CR69" i="4"/>
  <c r="AL69" i="4"/>
  <c r="FB69" i="4" s="1"/>
  <c r="CR66" i="4"/>
  <c r="AL66" i="4"/>
  <c r="FB66" i="4" s="1"/>
  <c r="CR64" i="4"/>
  <c r="AL64" i="4"/>
  <c r="FB64" i="4" s="1"/>
  <c r="CR71" i="4"/>
  <c r="AL71" i="4"/>
  <c r="FB71" i="4" s="1"/>
  <c r="CR67" i="4"/>
  <c r="AL67" i="4"/>
  <c r="FB67" i="4" s="1"/>
  <c r="CR65" i="4"/>
  <c r="AL65" i="4"/>
  <c r="FB65" i="4" s="1"/>
  <c r="CR51" i="4"/>
  <c r="AL51" i="4"/>
  <c r="FB51" i="4" s="1"/>
  <c r="CR50" i="4"/>
  <c r="AL43" i="4"/>
  <c r="FB43" i="4" s="1"/>
  <c r="AL62" i="4"/>
  <c r="FB62" i="4" s="1"/>
  <c r="CR56" i="4"/>
  <c r="AL56" i="4"/>
  <c r="FB56" i="4" s="1"/>
  <c r="CR46" i="4"/>
  <c r="CR52" i="4"/>
  <c r="CR49" i="4"/>
  <c r="AL49" i="4"/>
  <c r="FB49" i="4" s="1"/>
  <c r="AL59" i="4"/>
  <c r="FB59" i="4" s="1"/>
  <c r="CR45" i="4"/>
  <c r="AL45" i="4"/>
  <c r="FB45" i="4" s="1"/>
  <c r="CR63" i="4"/>
  <c r="AL63" i="4"/>
  <c r="FB63" i="4" s="1"/>
  <c r="CR57" i="4"/>
  <c r="AL57" i="4"/>
  <c r="FB57" i="4" s="1"/>
  <c r="CR47" i="4"/>
  <c r="AL47" i="4"/>
  <c r="FB47" i="4" s="1"/>
  <c r="CR33" i="4"/>
  <c r="AL33" i="4"/>
  <c r="FB33" i="4" s="1"/>
  <c r="CR38" i="4"/>
  <c r="AL38" i="4"/>
  <c r="FB38" i="4" s="1"/>
  <c r="CR21" i="4"/>
  <c r="AL21" i="4"/>
  <c r="FB21" i="4" s="1"/>
  <c r="CR39" i="4"/>
  <c r="AL39" i="4"/>
  <c r="FB39" i="4" s="1"/>
  <c r="CR29" i="4"/>
  <c r="AL29" i="4"/>
  <c r="FB29" i="4" s="1"/>
  <c r="CR23" i="4"/>
  <c r="AL23" i="4"/>
  <c r="FB23" i="4" s="1"/>
  <c r="CR30" i="4"/>
  <c r="AL30" i="4"/>
  <c r="FB30" i="4" s="1"/>
  <c r="CR20" i="4"/>
  <c r="CR32" i="4"/>
  <c r="AL27" i="4"/>
  <c r="FB27" i="4" s="1"/>
  <c r="AL19" i="4"/>
  <c r="FB19" i="4" s="1"/>
  <c r="CR18" i="4"/>
  <c r="AL18" i="4"/>
  <c r="FB18" i="4" s="1"/>
  <c r="O79" i="10"/>
  <c r="O82" i="3"/>
  <c r="L82" i="10"/>
  <c r="L85" i="3"/>
  <c r="U80" i="10"/>
  <c r="O83" i="3"/>
  <c r="O80" i="10"/>
  <c r="F84" i="3"/>
  <c r="F81" i="10"/>
  <c r="DL79" i="4"/>
  <c r="L93" i="10" s="1"/>
  <c r="L82" i="3"/>
  <c r="L79" i="10"/>
  <c r="R82" i="10"/>
  <c r="F83" i="3"/>
  <c r="F80" i="10"/>
  <c r="U81" i="10"/>
  <c r="F79" i="10"/>
  <c r="F82" i="3"/>
  <c r="L81" i="3"/>
  <c r="L78" i="10"/>
  <c r="O82" i="10"/>
  <c r="O85" i="3"/>
  <c r="R80" i="10"/>
  <c r="O84" i="3"/>
  <c r="O81" i="10"/>
  <c r="R81" i="10"/>
  <c r="U79" i="10"/>
  <c r="U82" i="10"/>
  <c r="R79" i="10"/>
  <c r="F82" i="10"/>
  <c r="F85" i="3"/>
  <c r="L83" i="3"/>
  <c r="L80" i="10"/>
  <c r="L84" i="3"/>
  <c r="L81" i="10"/>
  <c r="DJ80" i="4"/>
  <c r="O94" i="3" s="1"/>
  <c r="DJ81" i="4"/>
  <c r="R94" i="3" s="1"/>
  <c r="DJ76" i="4"/>
  <c r="R93" i="3" s="1"/>
  <c r="CR17" i="4"/>
  <c r="AL17" i="4"/>
  <c r="FB17" i="4" s="1"/>
  <c r="CR16" i="4"/>
  <c r="AL16" i="4"/>
  <c r="FB16" i="4" s="1"/>
  <c r="CR12" i="4"/>
  <c r="AL12" i="4"/>
  <c r="FB12" i="4" s="1"/>
  <c r="CR13" i="4"/>
  <c r="AL13" i="4"/>
  <c r="FB13" i="4" s="1"/>
  <c r="DN80" i="4"/>
  <c r="O98" i="3" s="1"/>
  <c r="DJ73" i="4"/>
  <c r="I93" i="3" s="1"/>
  <c r="Z24" i="3"/>
  <c r="L99" i="3"/>
  <c r="L96" i="10"/>
  <c r="U99" i="3"/>
  <c r="U96" i="10"/>
  <c r="U100" i="3"/>
  <c r="U97" i="10"/>
  <c r="L100" i="3"/>
  <c r="L97" i="10"/>
  <c r="R99" i="3"/>
  <c r="R96" i="10"/>
  <c r="R100" i="3"/>
  <c r="R97" i="10"/>
  <c r="O100" i="3"/>
  <c r="O97" i="10"/>
  <c r="F101" i="3"/>
  <c r="F98" i="10"/>
  <c r="Z24" i="10"/>
  <c r="F99" i="3"/>
  <c r="F96" i="10"/>
  <c r="O99" i="3"/>
  <c r="O96" i="10"/>
  <c r="F100" i="3"/>
  <c r="F97" i="10"/>
  <c r="EQ15" i="8" a="1"/>
  <c r="EQ15" i="8" s="1"/>
  <c r="H15" i="8" s="1"/>
  <c r="EQ19" i="8" a="1"/>
  <c r="EQ19" i="8" s="1"/>
  <c r="H19" i="8" s="1"/>
  <c r="DN73" i="4"/>
  <c r="EQ23" i="8" a="1"/>
  <c r="EQ23" i="8" s="1"/>
  <c r="H23" i="8" s="1"/>
  <c r="DL21" i="4"/>
  <c r="DL75" i="4"/>
  <c r="DL78" i="4"/>
  <c r="DL80" i="4"/>
  <c r="DL77" i="4"/>
  <c r="DL74" i="4"/>
  <c r="DL73" i="4"/>
  <c r="DJ72" i="4"/>
  <c r="FE14" i="4"/>
  <c r="EM21" i="4"/>
  <c r="EQ21" i="4"/>
  <c r="FC21" i="4"/>
  <c r="DJ21" i="4"/>
  <c r="DJ75" i="4"/>
  <c r="DJ78" i="4"/>
  <c r="EQ31" i="8" a="1"/>
  <c r="EQ31" i="8" s="1"/>
  <c r="H31" i="8" s="1"/>
  <c r="EM29" i="8"/>
  <c r="EM25" i="8"/>
  <c r="EW13" i="8"/>
  <c r="EY13" i="8" s="1"/>
  <c r="EI18" i="8"/>
  <c r="EW18" i="8"/>
  <c r="EY18" i="8" s="1"/>
  <c r="EV18" i="8"/>
  <c r="EM22" i="8"/>
  <c r="EI22" i="8"/>
  <c r="EV22" i="8"/>
  <c r="EW22" i="8"/>
  <c r="EY22" i="8" s="1"/>
  <c r="EM18" i="8"/>
  <c r="EM13" i="8"/>
  <c r="EQ24" i="8" a="1"/>
  <c r="EQ24" i="8" s="1"/>
  <c r="H24" i="8" s="1"/>
  <c r="EW28" i="8"/>
  <c r="EY28" i="8" s="1"/>
  <c r="DG78" i="8"/>
  <c r="DG77" i="8"/>
  <c r="DG80" i="8"/>
  <c r="DG76" i="8"/>
  <c r="DG75" i="8"/>
  <c r="DG81" i="8"/>
  <c r="DG73" i="8"/>
  <c r="DG72" i="8"/>
  <c r="DG79" i="8"/>
  <c r="DG12" i="8"/>
  <c r="DG74" i="8"/>
  <c r="EW33" i="8"/>
  <c r="EY33" i="8" s="1"/>
  <c r="EV33" i="8"/>
  <c r="EI33" i="8"/>
  <c r="EI13" i="8"/>
  <c r="EV13" i="8"/>
  <c r="EV25" i="8"/>
  <c r="EI25" i="8"/>
  <c r="EW25" i="8"/>
  <c r="EY25" i="8" s="1"/>
  <c r="EI21" i="8"/>
  <c r="EV21" i="8"/>
  <c r="DI79" i="8"/>
  <c r="DI80" i="8"/>
  <c r="DI74" i="8"/>
  <c r="DI81" i="8"/>
  <c r="DI78" i="8"/>
  <c r="DI77" i="8"/>
  <c r="DI76" i="8"/>
  <c r="DI12" i="8"/>
  <c r="DI73" i="8"/>
  <c r="DI75" i="8"/>
  <c r="DK80" i="8"/>
  <c r="DK78" i="8"/>
  <c r="DK81" i="8"/>
  <c r="DK79" i="8"/>
  <c r="DK75" i="8"/>
  <c r="DK74" i="8"/>
  <c r="DK76" i="8"/>
  <c r="DK73" i="8"/>
  <c r="DK12" i="8"/>
  <c r="DK77" i="8"/>
  <c r="EQ16" i="8" a="1"/>
  <c r="EQ16" i="8" s="1"/>
  <c r="H16" i="8" s="1"/>
  <c r="EV17" i="8"/>
  <c r="EI17" i="8"/>
  <c r="EW17" i="8"/>
  <c r="EY17" i="8" s="1"/>
  <c r="EM12" i="8"/>
  <c r="EI12" i="8"/>
  <c r="EW12" i="8"/>
  <c r="EV12" i="8"/>
  <c r="EI29" i="8"/>
  <c r="EW29" i="8"/>
  <c r="EY29" i="8" s="1"/>
  <c r="EV29" i="8"/>
  <c r="EM17" i="8"/>
  <c r="EV28" i="8"/>
  <c r="EI28" i="8"/>
  <c r="EM28" i="8"/>
  <c r="EM32" i="8"/>
  <c r="EW32" i="8"/>
  <c r="EY32" i="8" s="1"/>
  <c r="EI32" i="8"/>
  <c r="EV32" i="8"/>
  <c r="EM33" i="8"/>
  <c r="EM21" i="8"/>
  <c r="EW21" i="8"/>
  <c r="EY21" i="8" s="1"/>
  <c r="EV20" i="8"/>
  <c r="EI20" i="8"/>
  <c r="EW20" i="8"/>
  <c r="EY20" i="8" s="1"/>
  <c r="EM20" i="8"/>
  <c r="AL52" i="4" l="1"/>
  <c r="FB52" i="4" s="1"/>
  <c r="AL50" i="4"/>
  <c r="FB50" i="4" s="1"/>
  <c r="BZ36" i="8"/>
  <c r="B19" i="8"/>
  <c r="B18" i="8"/>
  <c r="FE38" i="4"/>
  <c r="EV41" i="4" a="1"/>
  <c r="EV41" i="4" s="1"/>
  <c r="H41" i="4" s="1"/>
  <c r="FE50" i="4"/>
  <c r="L101" i="3"/>
  <c r="AL22" i="4"/>
  <c r="FB22" i="4" s="1"/>
  <c r="U98" i="10"/>
  <c r="FE37" i="4"/>
  <c r="EV56" i="4" a="1"/>
  <c r="EV56" i="4" s="1"/>
  <c r="H56" i="4" s="1"/>
  <c r="EV49" i="4" a="1"/>
  <c r="EV49" i="4" s="1"/>
  <c r="H49" i="4" s="1"/>
  <c r="B21" i="4"/>
  <c r="B22" i="4" s="1"/>
  <c r="R101" i="3"/>
  <c r="FE60" i="4"/>
  <c r="EV48" i="4" a="1"/>
  <c r="EV48" i="4" s="1"/>
  <c r="H48" i="4" s="1"/>
  <c r="O98" i="10"/>
  <c r="X98" i="10" s="1"/>
  <c r="U81" i="3"/>
  <c r="EV38" i="4" a="1"/>
  <c r="EV38" i="4" s="1"/>
  <c r="H38" i="4" s="1"/>
  <c r="EV45" i="4" a="1"/>
  <c r="EV45" i="4" s="1"/>
  <c r="H45" i="4" s="1"/>
  <c r="EV25" i="4" a="1"/>
  <c r="EV25" i="4" s="1"/>
  <c r="H25" i="4" s="1"/>
  <c r="EV60" i="4" a="1"/>
  <c r="EV60" i="4" s="1"/>
  <c r="H60" i="4" s="1"/>
  <c r="FE58" i="4"/>
  <c r="EV54" i="4" a="1"/>
  <c r="EV54" i="4" s="1"/>
  <c r="H54" i="4" s="1"/>
  <c r="FE44" i="4"/>
  <c r="FE42" i="4"/>
  <c r="CR55" i="4"/>
  <c r="CQ42" i="4"/>
  <c r="CR42" i="4" s="1"/>
  <c r="BZ18" i="8"/>
  <c r="EV29" i="4" a="1"/>
  <c r="EV29" i="4" s="1"/>
  <c r="H29" i="4" s="1"/>
  <c r="AL35" i="4"/>
  <c r="FB35" i="4" s="1"/>
  <c r="FE28" i="4"/>
  <c r="U85" i="3"/>
  <c r="AL28" i="4"/>
  <c r="FB28" i="4" s="1"/>
  <c r="AL26" i="4"/>
  <c r="FB26" i="4" s="1"/>
  <c r="EV35" i="4" a="1"/>
  <c r="EV35" i="4" s="1"/>
  <c r="H35" i="4" s="1"/>
  <c r="AL41" i="4"/>
  <c r="FB41" i="4" s="1"/>
  <c r="CR53" i="4"/>
  <c r="U82" i="3"/>
  <c r="U83" i="3"/>
  <c r="EV50" i="4" a="1"/>
  <c r="EV50" i="4" s="1"/>
  <c r="H50" i="4" s="1"/>
  <c r="U84" i="3"/>
  <c r="R86" i="3"/>
  <c r="EV28" i="4" a="1"/>
  <c r="EV28" i="4" s="1"/>
  <c r="H28" i="4" s="1"/>
  <c r="R95" i="3"/>
  <c r="L90" i="10"/>
  <c r="EQ72" i="4"/>
  <c r="EQ73" i="4" s="1"/>
  <c r="AL40" i="4"/>
  <c r="FB40" i="4" s="1"/>
  <c r="AL44" i="4"/>
  <c r="FB44" i="4" s="1"/>
  <c r="AL37" i="4"/>
  <c r="FB37" i="4" s="1"/>
  <c r="AL54" i="4"/>
  <c r="FB54" i="4" s="1"/>
  <c r="EV40" i="4" a="1"/>
  <c r="EV40" i="4" s="1"/>
  <c r="H40" i="4" s="1"/>
  <c r="U90" i="10"/>
  <c r="AL58" i="4"/>
  <c r="FB58" i="4" s="1"/>
  <c r="AL20" i="4"/>
  <c r="FB20" i="4" s="1"/>
  <c r="FE40" i="4"/>
  <c r="FE20" i="4"/>
  <c r="AL32" i="4"/>
  <c r="FB32" i="4" s="1"/>
  <c r="AL34" i="4"/>
  <c r="FB34" i="4" s="1"/>
  <c r="AL60" i="4"/>
  <c r="FB60" i="4" s="1"/>
  <c r="AL46" i="4"/>
  <c r="FB46" i="4" s="1"/>
  <c r="DV36" i="4"/>
  <c r="FE36" i="4" s="1"/>
  <c r="AL36" i="4"/>
  <c r="FB36" i="4" s="1"/>
  <c r="AL24" i="4"/>
  <c r="FB24" i="4" s="1"/>
  <c r="CC62" i="4"/>
  <c r="CC26" i="4"/>
  <c r="L98" i="3"/>
  <c r="CC52" i="4"/>
  <c r="CC70" i="4"/>
  <c r="CR25" i="4"/>
  <c r="AL25" i="4"/>
  <c r="FB25" i="4" s="1"/>
  <c r="BZ48" i="8"/>
  <c r="BZ16" i="8"/>
  <c r="BZ38" i="8"/>
  <c r="BC85" i="8"/>
  <c r="F31" i="3" s="1"/>
  <c r="BQ124" i="8"/>
  <c r="F67" i="3" s="1"/>
  <c r="X65" i="10"/>
  <c r="BZ58" i="8"/>
  <c r="BR122" i="8"/>
  <c r="F68" i="3" s="1"/>
  <c r="BQ123" i="8"/>
  <c r="F66" i="3" s="1"/>
  <c r="X64" i="10"/>
  <c r="BZ64" i="8"/>
  <c r="X62" i="10"/>
  <c r="CC34" i="4"/>
  <c r="CC40" i="4"/>
  <c r="I63" i="10"/>
  <c r="X63" i="10" s="1"/>
  <c r="BR124" i="8"/>
  <c r="F69" i="3" s="1"/>
  <c r="BQ122" i="8"/>
  <c r="F65" i="3" s="1"/>
  <c r="BZ44" i="8"/>
  <c r="L86" i="3"/>
  <c r="EV21" i="4" a="1"/>
  <c r="EV21" i="4" s="1"/>
  <c r="CC20" i="4"/>
  <c r="L94" i="10"/>
  <c r="CR44" i="4"/>
  <c r="R83" i="10"/>
  <c r="AL48" i="4"/>
  <c r="FB48" i="4" s="1"/>
  <c r="O83" i="10"/>
  <c r="F86" i="3"/>
  <c r="B23" i="4"/>
  <c r="CC18" i="4"/>
  <c r="CC48" i="4"/>
  <c r="R98" i="3"/>
  <c r="F98" i="3"/>
  <c r="CC58" i="4"/>
  <c r="CC30" i="4"/>
  <c r="CC14" i="4"/>
  <c r="U47" i="3"/>
  <c r="U44" i="10"/>
  <c r="L45" i="10"/>
  <c r="L48" i="3"/>
  <c r="O48" i="3"/>
  <c r="O45" i="10"/>
  <c r="CC44" i="4"/>
  <c r="CC46" i="4"/>
  <c r="CC56" i="4"/>
  <c r="CC68" i="4"/>
  <c r="L53" i="10"/>
  <c r="L56" i="3"/>
  <c r="U52" i="10"/>
  <c r="U55" i="3"/>
  <c r="O53" i="10"/>
  <c r="O56" i="3"/>
  <c r="O52" i="10"/>
  <c r="O55" i="3"/>
  <c r="R10" i="3"/>
  <c r="R10" i="10"/>
  <c r="O10" i="3"/>
  <c r="O10" i="10"/>
  <c r="R9" i="3"/>
  <c r="R9" i="10"/>
  <c r="F11" i="10"/>
  <c r="F11" i="3"/>
  <c r="I11" i="10"/>
  <c r="I11" i="3"/>
  <c r="L40" i="10"/>
  <c r="L43" i="3"/>
  <c r="O39" i="10"/>
  <c r="O42" i="3"/>
  <c r="O41" i="10"/>
  <c r="O44" i="3"/>
  <c r="I42" i="10"/>
  <c r="I45" i="3"/>
  <c r="U42" i="3"/>
  <c r="U39" i="10"/>
  <c r="I44" i="3"/>
  <c r="I41" i="10"/>
  <c r="U52" i="3"/>
  <c r="U49" i="10"/>
  <c r="I48" i="10"/>
  <c r="I51" i="3"/>
  <c r="R48" i="10"/>
  <c r="R51" i="3"/>
  <c r="O50" i="3"/>
  <c r="O47" i="10"/>
  <c r="R49" i="3"/>
  <c r="R46" i="10"/>
  <c r="I49" i="3"/>
  <c r="I46" i="10"/>
  <c r="O12" i="3"/>
  <c r="O12" i="10"/>
  <c r="I45" i="10"/>
  <c r="I48" i="3"/>
  <c r="R48" i="3"/>
  <c r="R45" i="10"/>
  <c r="R43" i="10"/>
  <c r="R46" i="3"/>
  <c r="O47" i="3"/>
  <c r="O44" i="10"/>
  <c r="CC54" i="4"/>
  <c r="CC28" i="4"/>
  <c r="CC16" i="4"/>
  <c r="CC60" i="4"/>
  <c r="R56" i="3"/>
  <c r="R53" i="10"/>
  <c r="U51" i="10"/>
  <c r="U54" i="3"/>
  <c r="I54" i="3"/>
  <c r="I51" i="10"/>
  <c r="L52" i="10"/>
  <c r="L55" i="3"/>
  <c r="U10" i="3"/>
  <c r="U10" i="10"/>
  <c r="U9" i="10"/>
  <c r="U9" i="3"/>
  <c r="O9" i="10"/>
  <c r="O9" i="3"/>
  <c r="L11" i="3"/>
  <c r="L11" i="10"/>
  <c r="L44" i="3"/>
  <c r="L41" i="10"/>
  <c r="O45" i="3"/>
  <c r="O42" i="10"/>
  <c r="U44" i="3"/>
  <c r="U41" i="10"/>
  <c r="L39" i="10"/>
  <c r="L42" i="3"/>
  <c r="O43" i="3"/>
  <c r="O40" i="10"/>
  <c r="R40" i="10"/>
  <c r="R43" i="3"/>
  <c r="U50" i="10"/>
  <c r="U53" i="3"/>
  <c r="O53" i="3"/>
  <c r="O50" i="10"/>
  <c r="U48" i="10"/>
  <c r="U51" i="3"/>
  <c r="I53" i="3"/>
  <c r="I50" i="10"/>
  <c r="R50" i="3"/>
  <c r="R47" i="10"/>
  <c r="L46" i="10"/>
  <c r="L49" i="3"/>
  <c r="U49" i="3"/>
  <c r="U46" i="10"/>
  <c r="F12" i="3"/>
  <c r="F12" i="10"/>
  <c r="O46" i="3"/>
  <c r="O43" i="10"/>
  <c r="R44" i="10"/>
  <c r="R47" i="3"/>
  <c r="U48" i="3"/>
  <c r="U45" i="10"/>
  <c r="L46" i="3"/>
  <c r="L43" i="10"/>
  <c r="CC12" i="4"/>
  <c r="CC66" i="4"/>
  <c r="CC50" i="4"/>
  <c r="CC42" i="4"/>
  <c r="R55" i="3"/>
  <c r="R52" i="10"/>
  <c r="L54" i="3"/>
  <c r="L51" i="10"/>
  <c r="O54" i="3"/>
  <c r="O51" i="10"/>
  <c r="R51" i="10"/>
  <c r="R54" i="3"/>
  <c r="F10" i="3"/>
  <c r="F10" i="10"/>
  <c r="I9" i="3"/>
  <c r="I9" i="10"/>
  <c r="L9" i="10"/>
  <c r="L9" i="3"/>
  <c r="U11" i="3"/>
  <c r="U11" i="10"/>
  <c r="L42" i="10"/>
  <c r="L45" i="3"/>
  <c r="U40" i="10"/>
  <c r="U43" i="3"/>
  <c r="F43" i="3"/>
  <c r="F40" i="10"/>
  <c r="I42" i="3"/>
  <c r="I39" i="10"/>
  <c r="R39" i="10"/>
  <c r="R42" i="3"/>
  <c r="F39" i="10"/>
  <c r="F42" i="3"/>
  <c r="R49" i="10"/>
  <c r="R52" i="3"/>
  <c r="R53" i="3"/>
  <c r="R50" i="10"/>
  <c r="I49" i="10"/>
  <c r="I52" i="3"/>
  <c r="L52" i="3"/>
  <c r="L49" i="10"/>
  <c r="L50" i="3"/>
  <c r="L47" i="10"/>
  <c r="O46" i="10"/>
  <c r="O49" i="3"/>
  <c r="R12" i="10"/>
  <c r="R12" i="3"/>
  <c r="U12" i="3"/>
  <c r="U12" i="10"/>
  <c r="I44" i="10"/>
  <c r="I47" i="3"/>
  <c r="I46" i="3"/>
  <c r="I43" i="10"/>
  <c r="U43" i="10"/>
  <c r="U46" i="3"/>
  <c r="L47" i="3"/>
  <c r="L44" i="10"/>
  <c r="CC24" i="4"/>
  <c r="CC38" i="4"/>
  <c r="CC32" i="4"/>
  <c r="CC36" i="4"/>
  <c r="CC22" i="4"/>
  <c r="I55" i="3"/>
  <c r="I52" i="10"/>
  <c r="U56" i="3"/>
  <c r="U53" i="10"/>
  <c r="I56" i="3"/>
  <c r="I53" i="10"/>
  <c r="L10" i="3"/>
  <c r="L10" i="10"/>
  <c r="I10" i="10"/>
  <c r="I10" i="3"/>
  <c r="F9" i="3"/>
  <c r="F9" i="10"/>
  <c r="R11" i="10"/>
  <c r="R11" i="3"/>
  <c r="O11" i="3"/>
  <c r="O11" i="10"/>
  <c r="F41" i="10"/>
  <c r="F44" i="3"/>
  <c r="I40" i="10"/>
  <c r="I43" i="3"/>
  <c r="U45" i="3"/>
  <c r="U42" i="10"/>
  <c r="R41" i="10"/>
  <c r="R44" i="3"/>
  <c r="R42" i="10"/>
  <c r="R45" i="3"/>
  <c r="F42" i="10"/>
  <c r="F45" i="3"/>
  <c r="L53" i="3"/>
  <c r="L50" i="10"/>
  <c r="O52" i="3"/>
  <c r="O49" i="10"/>
  <c r="L48" i="10"/>
  <c r="L51" i="3"/>
  <c r="O51" i="3"/>
  <c r="O48" i="10"/>
  <c r="U47" i="10"/>
  <c r="U50" i="3"/>
  <c r="I47" i="10"/>
  <c r="I50" i="3"/>
  <c r="I12" i="3"/>
  <c r="I12" i="10"/>
  <c r="L12" i="10"/>
  <c r="L12" i="3"/>
  <c r="B24" i="4"/>
  <c r="B25" i="4" s="1"/>
  <c r="U97" i="3"/>
  <c r="O94" i="10"/>
  <c r="L91" i="10"/>
  <c r="R94" i="10"/>
  <c r="L96" i="3"/>
  <c r="R96" i="3"/>
  <c r="O91" i="10"/>
  <c r="BZ22" i="8"/>
  <c r="X69" i="10"/>
  <c r="BS124" i="8"/>
  <c r="F72" i="3" s="1"/>
  <c r="X31" i="10"/>
  <c r="BZ46" i="8"/>
  <c r="BZ70" i="8"/>
  <c r="BZ24" i="8"/>
  <c r="BZ28" i="8"/>
  <c r="BZ42" i="8"/>
  <c r="BZ14" i="8"/>
  <c r="X78" i="10"/>
  <c r="R91" i="10"/>
  <c r="X82" i="10"/>
  <c r="I70" i="10"/>
  <c r="X70" i="10" s="1"/>
  <c r="BT122" i="8"/>
  <c r="F73" i="3" s="1"/>
  <c r="F61" i="10"/>
  <c r="X61" i="10" s="1"/>
  <c r="BP124" i="8"/>
  <c r="F64" i="3" s="1"/>
  <c r="BS123" i="8"/>
  <c r="F71" i="3" s="1"/>
  <c r="I68" i="10"/>
  <c r="X68" i="10" s="1"/>
  <c r="BP121" i="8"/>
  <c r="F61" i="3" s="1"/>
  <c r="F58" i="10"/>
  <c r="X58" i="10" s="1"/>
  <c r="BZ62" i="8"/>
  <c r="BZ54" i="8"/>
  <c r="BZ12" i="8"/>
  <c r="BZ30" i="8"/>
  <c r="BF85" i="8"/>
  <c r="F34" i="3" s="1"/>
  <c r="F34" i="10"/>
  <c r="X34" i="10" s="1"/>
  <c r="X66" i="10"/>
  <c r="BZ60" i="8"/>
  <c r="BZ66" i="8"/>
  <c r="BT123" i="8"/>
  <c r="F74" i="3" s="1"/>
  <c r="I71" i="10"/>
  <c r="X71" i="10" s="1"/>
  <c r="F60" i="10"/>
  <c r="X60" i="10" s="1"/>
  <c r="BP123" i="8"/>
  <c r="F63" i="3" s="1"/>
  <c r="BZ52" i="8"/>
  <c r="BZ56" i="8"/>
  <c r="X67" i="10"/>
  <c r="BE85" i="8"/>
  <c r="F33" i="3" s="1"/>
  <c r="F33" i="10"/>
  <c r="X33" i="10" s="1"/>
  <c r="X72" i="10"/>
  <c r="BZ50" i="8"/>
  <c r="BZ26" i="8"/>
  <c r="BZ40" i="8"/>
  <c r="F32" i="10"/>
  <c r="X32" i="10" s="1"/>
  <c r="BD85" i="8"/>
  <c r="F32" i="3" s="1"/>
  <c r="BS122" i="8"/>
  <c r="F70" i="3" s="1"/>
  <c r="BP122" i="8"/>
  <c r="F62" i="3" s="1"/>
  <c r="F59" i="10"/>
  <c r="X59" i="10" s="1"/>
  <c r="BT124" i="8"/>
  <c r="F75" i="3" s="1"/>
  <c r="X80" i="10"/>
  <c r="X81" i="10"/>
  <c r="R90" i="10"/>
  <c r="X79" i="10"/>
  <c r="O95" i="10"/>
  <c r="I90" i="10"/>
  <c r="X99" i="3"/>
  <c r="X100" i="3"/>
  <c r="L95" i="3"/>
  <c r="L92" i="10"/>
  <c r="U95" i="3"/>
  <c r="U92" i="10"/>
  <c r="F93" i="3"/>
  <c r="F90" i="10"/>
  <c r="O96" i="3"/>
  <c r="O93" i="10"/>
  <c r="F94" i="3"/>
  <c r="F91" i="10"/>
  <c r="F95" i="3"/>
  <c r="F92" i="10"/>
  <c r="F96" i="3"/>
  <c r="F93" i="10"/>
  <c r="O93" i="3"/>
  <c r="O90" i="10"/>
  <c r="O95" i="3"/>
  <c r="O92" i="10"/>
  <c r="F97" i="3"/>
  <c r="F94" i="10"/>
  <c r="X97" i="10"/>
  <c r="X96" i="10"/>
  <c r="EQ13" i="8" a="1"/>
  <c r="EQ13" i="8" s="1"/>
  <c r="H13" i="8" s="1"/>
  <c r="EQ29" i="8" a="1"/>
  <c r="EQ29" i="8" s="1"/>
  <c r="H29" i="8" s="1"/>
  <c r="FE21" i="4"/>
  <c r="H14" i="4"/>
  <c r="FC10" i="4"/>
  <c r="EQ25" i="8" a="1"/>
  <c r="EQ25" i="8" s="1"/>
  <c r="H25" i="8" s="1"/>
  <c r="EQ32" i="8" a="1"/>
  <c r="EQ32" i="8" s="1"/>
  <c r="H32" i="8" s="1"/>
  <c r="EQ22" i="8" a="1"/>
  <c r="EQ22" i="8" s="1"/>
  <c r="H22" i="8" s="1"/>
  <c r="EQ28" i="8" a="1"/>
  <c r="EQ28" i="8" s="1"/>
  <c r="H28" i="8" s="1"/>
  <c r="EQ18" i="8" a="1"/>
  <c r="EQ18" i="8" s="1"/>
  <c r="H18" i="8" s="1"/>
  <c r="EQ20" i="8" a="1"/>
  <c r="EQ20" i="8" s="1"/>
  <c r="H20" i="8" s="1"/>
  <c r="EY12" i="8"/>
  <c r="EW10" i="8"/>
  <c r="EQ17" i="8" a="1"/>
  <c r="EQ17" i="8" s="1"/>
  <c r="H17" i="8" s="1"/>
  <c r="EQ21" i="8" a="1"/>
  <c r="EQ21" i="8" s="1"/>
  <c r="H21" i="8" s="1"/>
  <c r="EV10" i="8"/>
  <c r="EQ12" i="8" a="1"/>
  <c r="EQ12" i="8" s="1"/>
  <c r="EM72" i="8"/>
  <c r="EM73" i="8" s="1"/>
  <c r="EQ33" i="8" a="1"/>
  <c r="EQ33" i="8" s="1"/>
  <c r="H33" i="8" s="1"/>
  <c r="X101" i="3" l="1"/>
  <c r="B20" i="8"/>
  <c r="D151" i="3"/>
  <c r="F151" i="3" s="1"/>
  <c r="D150" i="3"/>
  <c r="F150" i="3" s="1"/>
  <c r="AL42" i="4"/>
  <c r="FB42" i="4" s="1"/>
  <c r="FB10" i="4" s="1"/>
  <c r="FC9" i="4" s="1"/>
  <c r="U86" i="3"/>
  <c r="EV72" i="4"/>
  <c r="X52" i="10"/>
  <c r="X129" i="10" s="1"/>
  <c r="Z129" i="10" s="1"/>
  <c r="H21" i="4"/>
  <c r="X83" i="10"/>
  <c r="Z82" i="10" s="1"/>
  <c r="X97" i="3"/>
  <c r="X9" i="3"/>
  <c r="D136" i="3" s="1"/>
  <c r="F136" i="3" s="1"/>
  <c r="X39" i="10"/>
  <c r="N125" i="10" s="1"/>
  <c r="P125" i="10" s="1"/>
  <c r="X41" i="10"/>
  <c r="N127" i="10" s="1"/>
  <c r="P127" i="10" s="1"/>
  <c r="X56" i="3"/>
  <c r="X141" i="3" s="1"/>
  <c r="Z141" i="3" s="1"/>
  <c r="X55" i="3"/>
  <c r="X140" i="3" s="1"/>
  <c r="Z140" i="3" s="1"/>
  <c r="X47" i="3"/>
  <c r="N141" i="3" s="1"/>
  <c r="P141" i="3" s="1"/>
  <c r="X9" i="10"/>
  <c r="D125" i="10" s="1"/>
  <c r="F125" i="10" s="1"/>
  <c r="X47" i="10"/>
  <c r="N133" i="10" s="1"/>
  <c r="P133" i="10" s="1"/>
  <c r="X42" i="10"/>
  <c r="N128" i="10" s="1"/>
  <c r="P128" i="10" s="1"/>
  <c r="X43" i="10"/>
  <c r="N129" i="10" s="1"/>
  <c r="P129" i="10" s="1"/>
  <c r="X49" i="10"/>
  <c r="X126" i="10" s="1"/>
  <c r="Z126" i="10" s="1"/>
  <c r="X43" i="3"/>
  <c r="N137" i="3" s="1"/>
  <c r="P137" i="3" s="1"/>
  <c r="X10" i="3"/>
  <c r="D137" i="3" s="1"/>
  <c r="F137" i="3" s="1"/>
  <c r="CC99" i="4"/>
  <c r="CC95" i="4"/>
  <c r="CC101" i="4"/>
  <c r="CC91" i="4"/>
  <c r="CC107" i="4"/>
  <c r="CC119" i="4"/>
  <c r="CC89" i="4"/>
  <c r="CC93" i="4"/>
  <c r="CC111" i="4"/>
  <c r="CC87" i="4"/>
  <c r="CC117" i="4"/>
  <c r="CC103" i="4"/>
  <c r="CC115" i="4"/>
  <c r="CC113" i="4"/>
  <c r="CC105" i="4"/>
  <c r="X51" i="10"/>
  <c r="X128" i="10" s="1"/>
  <c r="Z128" i="10" s="1"/>
  <c r="X48" i="3"/>
  <c r="N142" i="3" s="1"/>
  <c r="P142" i="3" s="1"/>
  <c r="X49" i="3"/>
  <c r="N143" i="3" s="1"/>
  <c r="P143" i="3" s="1"/>
  <c r="X48" i="10"/>
  <c r="X125" i="10" s="1"/>
  <c r="Z125" i="10" s="1"/>
  <c r="X50" i="3"/>
  <c r="N144" i="3" s="1"/>
  <c r="P144" i="3" s="1"/>
  <c r="X44" i="3"/>
  <c r="N138" i="3" s="1"/>
  <c r="P138" i="3" s="1"/>
  <c r="X53" i="10"/>
  <c r="X130" i="10" s="1"/>
  <c r="Z130" i="10" s="1"/>
  <c r="X46" i="3"/>
  <c r="N140" i="3" s="1"/>
  <c r="P140" i="3" s="1"/>
  <c r="X42" i="3"/>
  <c r="N136" i="3" s="1"/>
  <c r="P136" i="3" s="1"/>
  <c r="X54" i="3"/>
  <c r="X139" i="3" s="1"/>
  <c r="Z139" i="3" s="1"/>
  <c r="X45" i="10"/>
  <c r="N131" i="10" s="1"/>
  <c r="P131" i="10" s="1"/>
  <c r="X11" i="3"/>
  <c r="X12" i="10"/>
  <c r="D128" i="10" s="1"/>
  <c r="F128" i="10" s="1"/>
  <c r="X50" i="10"/>
  <c r="X127" i="10" s="1"/>
  <c r="Z127" i="10" s="1"/>
  <c r="X11" i="10"/>
  <c r="D127" i="10" s="1"/>
  <c r="F127" i="10" s="1"/>
  <c r="X45" i="3"/>
  <c r="N139" i="3" s="1"/>
  <c r="P139" i="3" s="1"/>
  <c r="X44" i="10"/>
  <c r="N130" i="10" s="1"/>
  <c r="P130" i="10" s="1"/>
  <c r="X52" i="3"/>
  <c r="X137" i="3" s="1"/>
  <c r="Z137" i="3" s="1"/>
  <c r="X40" i="10"/>
  <c r="N126" i="10" s="1"/>
  <c r="P126" i="10" s="1"/>
  <c r="X10" i="10"/>
  <c r="D126" i="10" s="1"/>
  <c r="F126" i="10" s="1"/>
  <c r="X12" i="3"/>
  <c r="D139" i="3" s="1"/>
  <c r="F139" i="3" s="1"/>
  <c r="X53" i="3"/>
  <c r="X138" i="3" s="1"/>
  <c r="Z138" i="3" s="1"/>
  <c r="X46" i="10"/>
  <c r="N132" i="10" s="1"/>
  <c r="P132" i="10" s="1"/>
  <c r="X51" i="3"/>
  <c r="X136" i="3" s="1"/>
  <c r="Z136" i="3" s="1"/>
  <c r="B26" i="4"/>
  <c r="B27" i="4" s="1"/>
  <c r="B28" i="4" s="1"/>
  <c r="B29" i="4" s="1"/>
  <c r="B30" i="4" s="1"/>
  <c r="B31" i="4" s="1"/>
  <c r="B32" i="4" s="1"/>
  <c r="B33" i="4" s="1"/>
  <c r="B34" i="4" s="1"/>
  <c r="B35" i="4" s="1"/>
  <c r="B36" i="4" s="1"/>
  <c r="B37" i="4" s="1"/>
  <c r="B38" i="4" s="1"/>
  <c r="B39" i="4" s="1"/>
  <c r="B40" i="4" s="1"/>
  <c r="B41" i="4" s="1"/>
  <c r="D139" i="10"/>
  <c r="F139" i="10" s="1"/>
  <c r="D140" i="10"/>
  <c r="F140" i="10" s="1"/>
  <c r="X94" i="10"/>
  <c r="D138" i="10" s="1"/>
  <c r="F138" i="10" s="1"/>
  <c r="BZ93" i="8"/>
  <c r="R73" i="10" s="1"/>
  <c r="BZ119" i="8"/>
  <c r="U75" i="10" s="1"/>
  <c r="BZ91" i="8"/>
  <c r="O73" i="10" s="1"/>
  <c r="BZ89" i="8"/>
  <c r="L73" i="10" s="1"/>
  <c r="BZ105" i="8"/>
  <c r="R74" i="10" s="1"/>
  <c r="BZ113" i="8"/>
  <c r="L75" i="10" s="1"/>
  <c r="BZ111" i="8"/>
  <c r="BZ117" i="8"/>
  <c r="R75" i="10" s="1"/>
  <c r="BZ103" i="8"/>
  <c r="O74" i="10" s="1"/>
  <c r="BZ115" i="8"/>
  <c r="O75" i="10" s="1"/>
  <c r="BZ107" i="8"/>
  <c r="U74" i="10" s="1"/>
  <c r="BZ95" i="8"/>
  <c r="U73" i="10" s="1"/>
  <c r="BZ99" i="8"/>
  <c r="BZ87" i="8"/>
  <c r="BZ101" i="8"/>
  <c r="L74" i="10" s="1"/>
  <c r="X93" i="3"/>
  <c r="D147" i="3" s="1"/>
  <c r="X95" i="3"/>
  <c r="X90" i="10"/>
  <c r="D136" i="10" s="1"/>
  <c r="F136" i="10" s="1"/>
  <c r="X92" i="10"/>
  <c r="D137" i="10" s="1"/>
  <c r="F137" i="10" s="1"/>
  <c r="ER10" i="4"/>
  <c r="H12" i="8"/>
  <c r="EN10" i="8"/>
  <c r="EW9" i="8"/>
  <c r="B22" i="8" l="1"/>
  <c r="B21" i="8"/>
  <c r="D149" i="3"/>
  <c r="F149" i="3" s="1"/>
  <c r="D148" i="3"/>
  <c r="F148" i="3" s="1"/>
  <c r="Z85" i="3"/>
  <c r="D152" i="3"/>
  <c r="F152" i="3" s="1"/>
  <c r="D138" i="3"/>
  <c r="F138" i="3" s="1"/>
  <c r="Z11" i="3"/>
  <c r="D141" i="10"/>
  <c r="F141" i="10" s="1"/>
  <c r="AC141" i="10" s="1"/>
  <c r="P116" i="3"/>
  <c r="Z11" i="10"/>
  <c r="L56" i="10"/>
  <c r="L59" i="3"/>
  <c r="U59" i="3"/>
  <c r="U56" i="10"/>
  <c r="O56" i="10"/>
  <c r="O59" i="3"/>
  <c r="I59" i="3"/>
  <c r="I56" i="10"/>
  <c r="U58" i="3"/>
  <c r="U55" i="10"/>
  <c r="I58" i="3"/>
  <c r="I55" i="10"/>
  <c r="O58" i="3"/>
  <c r="O55" i="10"/>
  <c r="O54" i="10"/>
  <c r="O57" i="3"/>
  <c r="R57" i="3"/>
  <c r="R54" i="10"/>
  <c r="R58" i="3"/>
  <c r="R55" i="10"/>
  <c r="R56" i="10"/>
  <c r="R59" i="3"/>
  <c r="L54" i="10"/>
  <c r="L57" i="3"/>
  <c r="L58" i="3"/>
  <c r="L55" i="10"/>
  <c r="I57" i="3"/>
  <c r="I54" i="10"/>
  <c r="U54" i="10"/>
  <c r="U57" i="3"/>
  <c r="B42" i="4"/>
  <c r="B43" i="4" s="1"/>
  <c r="B44" i="4" s="1"/>
  <c r="B45" i="4" s="1"/>
  <c r="B46" i="4" s="1"/>
  <c r="B47" i="4" s="1"/>
  <c r="B48" i="4" s="1"/>
  <c r="B49" i="4" s="1"/>
  <c r="B50" i="4" s="1"/>
  <c r="B51" i="4" s="1"/>
  <c r="B52" i="4" s="1"/>
  <c r="B53" i="4" s="1"/>
  <c r="B54" i="4" s="1"/>
  <c r="B55" i="4" s="1"/>
  <c r="B56" i="4" s="1"/>
  <c r="B57" i="4" s="1"/>
  <c r="B58" i="4" s="1"/>
  <c r="B59" i="4" s="1"/>
  <c r="B60" i="4" s="1"/>
  <c r="B61" i="4" s="1"/>
  <c r="B62" i="4" s="1"/>
  <c r="B63" i="4" s="1"/>
  <c r="I75" i="10"/>
  <c r="X75" i="10" s="1"/>
  <c r="BZ124" i="8"/>
  <c r="F78" i="3" s="1"/>
  <c r="BZ122" i="8"/>
  <c r="F76" i="3" s="1"/>
  <c r="I73" i="10"/>
  <c r="X73" i="10" s="1"/>
  <c r="BZ123" i="8"/>
  <c r="F77" i="3" s="1"/>
  <c r="I74" i="10"/>
  <c r="X74" i="10" s="1"/>
  <c r="Z100" i="3"/>
  <c r="F147" i="3"/>
  <c r="Z97" i="10"/>
  <c r="P105" i="10"/>
  <c r="B23" i="8" l="1"/>
  <c r="B24" i="8"/>
  <c r="B25" i="8" s="1"/>
  <c r="AC152" i="3"/>
  <c r="B64" i="4"/>
  <c r="B65" i="4" s="1"/>
  <c r="B66" i="4" s="1"/>
  <c r="B67" i="4" s="1"/>
  <c r="B68" i="4" s="1"/>
  <c r="X57" i="3"/>
  <c r="X142" i="3" s="1"/>
  <c r="Z142" i="3" s="1"/>
  <c r="X59" i="3"/>
  <c r="X144" i="3" s="1"/>
  <c r="Z144" i="3" s="1"/>
  <c r="X54" i="10"/>
  <c r="X131" i="10" s="1"/>
  <c r="Z131" i="10" s="1"/>
  <c r="X55" i="10"/>
  <c r="X132" i="10" s="1"/>
  <c r="Z132" i="10" s="1"/>
  <c r="X56" i="10"/>
  <c r="X133" i="10" s="1"/>
  <c r="Z133" i="10" s="1"/>
  <c r="X58" i="3"/>
  <c r="X143" i="3" s="1"/>
  <c r="Z143" i="3" s="1"/>
  <c r="B26" i="8" l="1"/>
  <c r="B27" i="8"/>
  <c r="B28" i="8"/>
  <c r="B29" i="8" s="1"/>
  <c r="B30" i="8" s="1"/>
  <c r="B31" i="8" s="1"/>
  <c r="B32" i="8" s="1"/>
  <c r="B33" i="8" s="1"/>
  <c r="B34" i="8" s="1"/>
  <c r="B35" i="8" s="1"/>
  <c r="B36" i="8" s="1"/>
  <c r="B37" i="8" s="1"/>
  <c r="B38" i="8" s="1"/>
  <c r="B39" i="8" s="1"/>
  <c r="B40" i="8" s="1"/>
  <c r="B41" i="8" s="1"/>
  <c r="B42" i="8" s="1"/>
  <c r="B43" i="8" s="1"/>
  <c r="B44" i="8" s="1"/>
  <c r="B45" i="8" s="1"/>
  <c r="B46" i="8" s="1"/>
  <c r="B47" i="8" s="1"/>
  <c r="B48" i="8" s="1"/>
  <c r="B49" i="8" s="1"/>
  <c r="B50" i="8" s="1"/>
  <c r="B51" i="8" s="1"/>
  <c r="B52" i="8" s="1"/>
  <c r="B53" i="8" s="1"/>
  <c r="B54" i="8" s="1"/>
  <c r="B55" i="8" s="1"/>
  <c r="B56" i="8" s="1"/>
  <c r="B57" i="8" s="1"/>
  <c r="B58" i="8" s="1"/>
  <c r="B59" i="8" s="1"/>
  <c r="B60" i="8" s="1"/>
  <c r="B61" i="8" s="1"/>
  <c r="B62" i="8" s="1"/>
  <c r="AC144" i="3"/>
  <c r="AB156" i="3" s="1"/>
  <c r="B69" i="4"/>
  <c r="B70" i="4" s="1"/>
  <c r="B71" i="4" s="1"/>
  <c r="Z55" i="10"/>
  <c r="K105" i="10" s="1"/>
  <c r="AC133" i="10"/>
  <c r="AB145" i="10" s="1"/>
  <c r="Z58" i="3"/>
  <c r="K116" i="3" s="1"/>
  <c r="U116" i="3" l="1" a="1"/>
  <c r="U116" i="3" s="1"/>
  <c r="U105" i="10" a="1"/>
  <c r="U105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<sst xmlns="http://schemas.openxmlformats.org/spreadsheetml/2006/main" count="2831" uniqueCount="914">
  <si>
    <t>参加費</t>
    <rPh sb="0" eb="3">
      <t>サンカヒ</t>
    </rPh>
    <phoneticPr fontId="4"/>
  </si>
  <si>
    <t>小学生</t>
    <rPh sb="0" eb="3">
      <t>ショウガクセイ</t>
    </rPh>
    <phoneticPr fontId="4"/>
  </si>
  <si>
    <t>中学生</t>
    <rPh sb="0" eb="3">
      <t>チュウガクセイ</t>
    </rPh>
    <phoneticPr fontId="4"/>
  </si>
  <si>
    <t>高校生</t>
    <rPh sb="0" eb="3">
      <t>コウコウセイ</t>
    </rPh>
    <phoneticPr fontId="4"/>
  </si>
  <si>
    <t>7歳</t>
    <rPh sb="1" eb="2">
      <t>サイ</t>
    </rPh>
    <phoneticPr fontId="4"/>
  </si>
  <si>
    <t>8歳</t>
    <rPh sb="1" eb="2">
      <t>サイ</t>
    </rPh>
    <phoneticPr fontId="4"/>
  </si>
  <si>
    <t>9歳</t>
    <rPh sb="1" eb="2">
      <t>サイ</t>
    </rPh>
    <phoneticPr fontId="4"/>
  </si>
  <si>
    <t>10歳</t>
    <rPh sb="2" eb="3">
      <t>サイ</t>
    </rPh>
    <phoneticPr fontId="4"/>
  </si>
  <si>
    <t>11歳</t>
    <rPh sb="2" eb="3">
      <t>サイ</t>
    </rPh>
    <phoneticPr fontId="4"/>
  </si>
  <si>
    <t>12歳</t>
    <rPh sb="2" eb="3">
      <t>サイ</t>
    </rPh>
    <phoneticPr fontId="4"/>
  </si>
  <si>
    <t>13歳</t>
    <rPh sb="2" eb="3">
      <t>サイ</t>
    </rPh>
    <phoneticPr fontId="4"/>
  </si>
  <si>
    <t>14歳</t>
    <rPh sb="2" eb="3">
      <t>サイ</t>
    </rPh>
    <phoneticPr fontId="4"/>
  </si>
  <si>
    <t>15歳</t>
    <rPh sb="2" eb="3">
      <t>サイ</t>
    </rPh>
    <phoneticPr fontId="4"/>
  </si>
  <si>
    <t>16歳</t>
    <rPh sb="2" eb="3">
      <t>サイ</t>
    </rPh>
    <phoneticPr fontId="4"/>
  </si>
  <si>
    <t>17歳</t>
    <rPh sb="2" eb="3">
      <t>サイ</t>
    </rPh>
    <phoneticPr fontId="4"/>
  </si>
  <si>
    <t>18歳</t>
    <rPh sb="2" eb="3">
      <t>サイ</t>
    </rPh>
    <phoneticPr fontId="4"/>
  </si>
  <si>
    <t>ソロトワール</t>
    <phoneticPr fontId="4"/>
  </si>
  <si>
    <t>女子</t>
    <rPh sb="0" eb="2">
      <t>ジョシ</t>
    </rPh>
    <phoneticPr fontId="4"/>
  </si>
  <si>
    <t>男子</t>
    <rPh sb="0" eb="2">
      <t>ダンシ</t>
    </rPh>
    <phoneticPr fontId="4"/>
  </si>
  <si>
    <t>トゥーバトン</t>
    <phoneticPr fontId="4"/>
  </si>
  <si>
    <t>ソロストラット</t>
    <phoneticPr fontId="4"/>
  </si>
  <si>
    <t>Ｕ－９</t>
    <phoneticPr fontId="3"/>
  </si>
  <si>
    <t>Ｕ－１２</t>
    <phoneticPr fontId="3"/>
  </si>
  <si>
    <t>Ｕ－１５</t>
    <phoneticPr fontId="3"/>
  </si>
  <si>
    <t>Ｕ－１８</t>
    <phoneticPr fontId="3"/>
  </si>
  <si>
    <t>エントリー別人数表</t>
    <rPh sb="5" eb="6">
      <t>ベツ</t>
    </rPh>
    <rPh sb="6" eb="8">
      <t>ニンズウ</t>
    </rPh>
    <rPh sb="8" eb="9">
      <t>ヒョウ</t>
    </rPh>
    <phoneticPr fontId="4"/>
  </si>
  <si>
    <t>所属都県</t>
    <rPh sb="0" eb="2">
      <t>ショゾク</t>
    </rPh>
    <rPh sb="2" eb="3">
      <t>ト</t>
    </rPh>
    <rPh sb="3" eb="4">
      <t>ケン</t>
    </rPh>
    <phoneticPr fontId="4"/>
  </si>
  <si>
    <t>登録団体名</t>
    <rPh sb="0" eb="2">
      <t>トウロク</t>
    </rPh>
    <rPh sb="2" eb="4">
      <t>ダンタイ</t>
    </rPh>
    <rPh sb="4" eb="5">
      <t>メイ</t>
    </rPh>
    <phoneticPr fontId="4"/>
  </si>
  <si>
    <t>年齢</t>
    <rPh sb="0" eb="2">
      <t>ネンレイ</t>
    </rPh>
    <phoneticPr fontId="4"/>
  </si>
  <si>
    <t>合計</t>
    <rPh sb="0" eb="2">
      <t>ゴウケイ</t>
    </rPh>
    <phoneticPr fontId="4"/>
  </si>
  <si>
    <t>スリーバトン</t>
    <phoneticPr fontId="4"/>
  </si>
  <si>
    <t>ダンストワール</t>
    <phoneticPr fontId="4"/>
  </si>
  <si>
    <t>ペア</t>
    <phoneticPr fontId="4"/>
  </si>
  <si>
    <t>選手実数</t>
    <rPh sb="0" eb="2">
      <t>センシュ</t>
    </rPh>
    <rPh sb="2" eb="3">
      <t>ジツ</t>
    </rPh>
    <rPh sb="3" eb="4">
      <t>スウ</t>
    </rPh>
    <phoneticPr fontId="4"/>
  </si>
  <si>
    <t>団体名</t>
    <rPh sb="0" eb="2">
      <t>ダンタイ</t>
    </rPh>
    <rPh sb="2" eb="3">
      <t>メイ</t>
    </rPh>
    <phoneticPr fontId="4"/>
  </si>
  <si>
    <t>都県</t>
    <rPh sb="0" eb="2">
      <t>トケン</t>
    </rPh>
    <phoneticPr fontId="4"/>
  </si>
  <si>
    <t>ペア</t>
    <phoneticPr fontId="4"/>
  </si>
  <si>
    <t>～６歳</t>
    <rPh sb="2" eb="3">
      <t>サイ</t>
    </rPh>
    <phoneticPr fontId="4"/>
  </si>
  <si>
    <t>バトン</t>
    <phoneticPr fontId="6"/>
  </si>
  <si>
    <t>入門</t>
    <rPh sb="0" eb="2">
      <t>ニュウモン</t>
    </rPh>
    <phoneticPr fontId="1"/>
  </si>
  <si>
    <t>入門</t>
    <rPh sb="0" eb="2">
      <t>ニュウモン</t>
    </rPh>
    <phoneticPr fontId="4"/>
  </si>
  <si>
    <t>初級</t>
    <rPh sb="0" eb="2">
      <t>ショキュウ</t>
    </rPh>
    <phoneticPr fontId="1"/>
  </si>
  <si>
    <t>初級</t>
    <rPh sb="0" eb="2">
      <t>ショキュウ</t>
    </rPh>
    <phoneticPr fontId="4"/>
  </si>
  <si>
    <t>中級</t>
    <rPh sb="0" eb="2">
      <t>チュウキュウ</t>
    </rPh>
    <phoneticPr fontId="1"/>
  </si>
  <si>
    <t>中級</t>
    <rPh sb="0" eb="2">
      <t>チュウキュウ</t>
    </rPh>
    <phoneticPr fontId="4"/>
  </si>
  <si>
    <t>上級</t>
    <rPh sb="0" eb="2">
      <t>ジョウキュウ</t>
    </rPh>
    <phoneticPr fontId="1"/>
  </si>
  <si>
    <t>上級</t>
    <rPh sb="0" eb="2">
      <t>ジョウキュウ</t>
    </rPh>
    <phoneticPr fontId="4"/>
  </si>
  <si>
    <t>年齢</t>
    <rPh sb="0" eb="2">
      <t>ネンレイ</t>
    </rPh>
    <phoneticPr fontId="6"/>
  </si>
  <si>
    <t>部門</t>
    <rPh sb="0" eb="2">
      <t>ブモン</t>
    </rPh>
    <phoneticPr fontId="6"/>
  </si>
  <si>
    <t>関東６種目</t>
    <rPh sb="0" eb="2">
      <t>カントウ</t>
    </rPh>
    <rPh sb="3" eb="5">
      <t>シュモク</t>
    </rPh>
    <phoneticPr fontId="6"/>
  </si>
  <si>
    <t>ポンポン</t>
    <phoneticPr fontId="6"/>
  </si>
  <si>
    <t>トゥーバトン</t>
    <phoneticPr fontId="6"/>
  </si>
  <si>
    <t>スリーバトン</t>
    <phoneticPr fontId="6"/>
  </si>
  <si>
    <t>ペア</t>
    <phoneticPr fontId="6"/>
  </si>
  <si>
    <t>６種目選手権</t>
    <rPh sb="1" eb="3">
      <t>シュモク</t>
    </rPh>
    <rPh sb="3" eb="6">
      <t>センシュケン</t>
    </rPh>
    <phoneticPr fontId="6"/>
  </si>
  <si>
    <t>エントリー</t>
    <phoneticPr fontId="4"/>
  </si>
  <si>
    <t>総数</t>
    <phoneticPr fontId="6"/>
  </si>
  <si>
    <t>実数</t>
    <phoneticPr fontId="6"/>
  </si>
  <si>
    <t>共通規定
総数</t>
    <rPh sb="0" eb="2">
      <t>キョウツウ</t>
    </rPh>
    <rPh sb="2" eb="4">
      <t>キテイ</t>
    </rPh>
    <rPh sb="5" eb="7">
      <t>ソウスウ</t>
    </rPh>
    <phoneticPr fontId="4"/>
  </si>
  <si>
    <t>関東６種目
総数</t>
    <rPh sb="0" eb="2">
      <t>カントウ</t>
    </rPh>
    <rPh sb="3" eb="5">
      <t>シュモク</t>
    </rPh>
    <rPh sb="6" eb="8">
      <t>ソウスウ</t>
    </rPh>
    <phoneticPr fontId="4"/>
  </si>
  <si>
    <t>６種目選手権
総数</t>
    <rPh sb="1" eb="3">
      <t>シュモク</t>
    </rPh>
    <rPh sb="3" eb="6">
      <t>センシュケン</t>
    </rPh>
    <rPh sb="7" eb="9">
      <t>ソウスウ</t>
    </rPh>
    <phoneticPr fontId="4"/>
  </si>
  <si>
    <t>出場選手情報　入力欄　　（※１人１行に入力）</t>
    <rPh sb="15" eb="16">
      <t>ニン</t>
    </rPh>
    <rPh sb="17" eb="18">
      <t>ギョウ</t>
    </rPh>
    <rPh sb="19" eb="21">
      <t>ニュウリョク</t>
    </rPh>
    <phoneticPr fontId="4"/>
  </si>
  <si>
    <t>No.</t>
    <phoneticPr fontId="4"/>
  </si>
  <si>
    <t>氏名</t>
    <rPh sb="0" eb="2">
      <t>シメイ</t>
    </rPh>
    <phoneticPr fontId="4"/>
  </si>
  <si>
    <t>生年月日</t>
    <rPh sb="0" eb="2">
      <t>セイネン</t>
    </rPh>
    <rPh sb="2" eb="4">
      <t>ガッピ</t>
    </rPh>
    <phoneticPr fontId="4"/>
  </si>
  <si>
    <t>例</t>
    <rPh sb="0" eb="1">
      <t>レイ</t>
    </rPh>
    <phoneticPr fontId="4"/>
  </si>
  <si>
    <t>関東　はな子</t>
    <rPh sb="0" eb="2">
      <t>カントウ</t>
    </rPh>
    <rPh sb="5" eb="6">
      <t>コ</t>
    </rPh>
    <phoneticPr fontId="4"/>
  </si>
  <si>
    <t>関東　望</t>
    <rPh sb="0" eb="2">
      <t>カントウ</t>
    </rPh>
    <rPh sb="3" eb="4">
      <t>ノゾミ</t>
    </rPh>
    <phoneticPr fontId="4"/>
  </si>
  <si>
    <t>コード反映表</t>
    <rPh sb="3" eb="5">
      <t>ハンエイ</t>
    </rPh>
    <rPh sb="5" eb="6">
      <t>ヒョウ</t>
    </rPh>
    <phoneticPr fontId="4"/>
  </si>
  <si>
    <t>関東　建太</t>
    <rPh sb="0" eb="2">
      <t>カントウ</t>
    </rPh>
    <rPh sb="3" eb="5">
      <t>ケンタ</t>
    </rPh>
    <phoneticPr fontId="4"/>
  </si>
  <si>
    <t>男子</t>
  </si>
  <si>
    <t>1-1</t>
    <phoneticPr fontId="4"/>
  </si>
  <si>
    <t>関東　太郎</t>
    <rPh sb="0" eb="2">
      <t>カントウ</t>
    </rPh>
    <rPh sb="3" eb="5">
      <t>タロウ</t>
    </rPh>
    <phoneticPr fontId="4"/>
  </si>
  <si>
    <t>1-2</t>
    <phoneticPr fontId="4"/>
  </si>
  <si>
    <t>ダンストワール</t>
    <phoneticPr fontId="4"/>
  </si>
  <si>
    <t>ソロストラット</t>
    <phoneticPr fontId="4"/>
  </si>
  <si>
    <t>ペア</t>
    <phoneticPr fontId="4"/>
  </si>
  <si>
    <t>年齢区分</t>
    <rPh sb="0" eb="2">
      <t>ネンレイ</t>
    </rPh>
    <rPh sb="2" eb="4">
      <t>クブン</t>
    </rPh>
    <phoneticPr fontId="4"/>
  </si>
  <si>
    <t>反映コード</t>
    <rPh sb="0" eb="2">
      <t>ハンエイ</t>
    </rPh>
    <phoneticPr fontId="4"/>
  </si>
  <si>
    <t>種目</t>
    <rPh sb="0" eb="2">
      <t>シュモク</t>
    </rPh>
    <phoneticPr fontId="4"/>
  </si>
  <si>
    <t>No.</t>
    <phoneticPr fontId="4"/>
  </si>
  <si>
    <t>ペアNo.</t>
    <phoneticPr fontId="4"/>
  </si>
  <si>
    <t>個人反映コード</t>
    <rPh sb="0" eb="2">
      <t>コジン</t>
    </rPh>
    <rPh sb="2" eb="4">
      <t>ハンエイ</t>
    </rPh>
    <phoneticPr fontId="4"/>
  </si>
  <si>
    <t>ペアコード</t>
    <phoneticPr fontId="4"/>
  </si>
  <si>
    <t>出場種目数</t>
    <rPh sb="0" eb="2">
      <t>シュツジョウ</t>
    </rPh>
    <rPh sb="2" eb="4">
      <t>シュモク</t>
    </rPh>
    <rPh sb="4" eb="5">
      <t>スウ</t>
    </rPh>
    <phoneticPr fontId="4"/>
  </si>
  <si>
    <t>1-1</t>
    <phoneticPr fontId="4"/>
  </si>
  <si>
    <t>1-2</t>
    <phoneticPr fontId="4"/>
  </si>
  <si>
    <t>2-1</t>
    <phoneticPr fontId="4"/>
  </si>
  <si>
    <t>2-2</t>
    <phoneticPr fontId="4"/>
  </si>
  <si>
    <t>3-1</t>
    <phoneticPr fontId="4"/>
  </si>
  <si>
    <t>3-2</t>
    <phoneticPr fontId="4"/>
  </si>
  <si>
    <t>4-1</t>
    <phoneticPr fontId="4"/>
  </si>
  <si>
    <t>4-2</t>
    <phoneticPr fontId="4"/>
  </si>
  <si>
    <t>5-1</t>
    <phoneticPr fontId="4"/>
  </si>
  <si>
    <t>5-2</t>
    <phoneticPr fontId="4"/>
  </si>
  <si>
    <t>6-1</t>
    <phoneticPr fontId="4"/>
  </si>
  <si>
    <t>6-2</t>
    <phoneticPr fontId="4"/>
  </si>
  <si>
    <t>7-1</t>
    <phoneticPr fontId="4"/>
  </si>
  <si>
    <t>7-2</t>
    <phoneticPr fontId="4"/>
  </si>
  <si>
    <t>8-1</t>
    <phoneticPr fontId="4"/>
  </si>
  <si>
    <t>8-2</t>
    <phoneticPr fontId="4"/>
  </si>
  <si>
    <t>9-1</t>
    <phoneticPr fontId="4"/>
  </si>
  <si>
    <t>9-2</t>
    <phoneticPr fontId="4"/>
  </si>
  <si>
    <t>10-1</t>
    <phoneticPr fontId="4"/>
  </si>
  <si>
    <t>10-2</t>
    <phoneticPr fontId="4"/>
  </si>
  <si>
    <t>11-1</t>
    <phoneticPr fontId="4"/>
  </si>
  <si>
    <t>11-2</t>
    <phoneticPr fontId="4"/>
  </si>
  <si>
    <t>12-1</t>
    <phoneticPr fontId="4"/>
  </si>
  <si>
    <t>12-2</t>
    <phoneticPr fontId="4"/>
  </si>
  <si>
    <t>13-1</t>
    <phoneticPr fontId="4"/>
  </si>
  <si>
    <t>13-2</t>
    <phoneticPr fontId="4"/>
  </si>
  <si>
    <t>14-1</t>
    <phoneticPr fontId="4"/>
  </si>
  <si>
    <t>14-2</t>
    <phoneticPr fontId="4"/>
  </si>
  <si>
    <t>15-1</t>
    <phoneticPr fontId="4"/>
  </si>
  <si>
    <t>15-2</t>
    <phoneticPr fontId="4"/>
  </si>
  <si>
    <t>16-1</t>
    <phoneticPr fontId="4"/>
  </si>
  <si>
    <t>16-2</t>
    <phoneticPr fontId="4"/>
  </si>
  <si>
    <t>17-1</t>
    <phoneticPr fontId="4"/>
  </si>
  <si>
    <t>17-2</t>
    <phoneticPr fontId="4"/>
  </si>
  <si>
    <t>18-1</t>
    <phoneticPr fontId="4"/>
  </si>
  <si>
    <t>18-2</t>
    <phoneticPr fontId="4"/>
  </si>
  <si>
    <t>19-1</t>
    <phoneticPr fontId="4"/>
  </si>
  <si>
    <t>19-2</t>
    <phoneticPr fontId="4"/>
  </si>
  <si>
    <t>20-1</t>
    <phoneticPr fontId="4"/>
  </si>
  <si>
    <t>20-2</t>
    <phoneticPr fontId="4"/>
  </si>
  <si>
    <t>21-1</t>
    <phoneticPr fontId="4"/>
  </si>
  <si>
    <t>21-2</t>
    <phoneticPr fontId="4"/>
  </si>
  <si>
    <t>22-1</t>
    <phoneticPr fontId="4"/>
  </si>
  <si>
    <t>22-2</t>
    <phoneticPr fontId="4"/>
  </si>
  <si>
    <t>23-1</t>
    <phoneticPr fontId="4"/>
  </si>
  <si>
    <t>23-2</t>
    <phoneticPr fontId="4"/>
  </si>
  <si>
    <t>24-1</t>
    <phoneticPr fontId="4"/>
  </si>
  <si>
    <t>24-2</t>
    <phoneticPr fontId="4"/>
  </si>
  <si>
    <t>25-1</t>
    <phoneticPr fontId="4"/>
  </si>
  <si>
    <t>25-2</t>
    <phoneticPr fontId="4"/>
  </si>
  <si>
    <t>26-1</t>
    <phoneticPr fontId="4"/>
  </si>
  <si>
    <t>26-2</t>
    <phoneticPr fontId="4"/>
  </si>
  <si>
    <t>27-1</t>
    <phoneticPr fontId="4"/>
  </si>
  <si>
    <t>27-2</t>
    <phoneticPr fontId="4"/>
  </si>
  <si>
    <t>28-1</t>
    <phoneticPr fontId="4"/>
  </si>
  <si>
    <t>28-2</t>
    <phoneticPr fontId="4"/>
  </si>
  <si>
    <t>29-1</t>
    <phoneticPr fontId="4"/>
  </si>
  <si>
    <t>29-2</t>
    <phoneticPr fontId="4"/>
  </si>
  <si>
    <t>30-1</t>
    <phoneticPr fontId="4"/>
  </si>
  <si>
    <t>30-2</t>
    <phoneticPr fontId="4"/>
  </si>
  <si>
    <t>ソロストラット</t>
    <phoneticPr fontId="3"/>
  </si>
  <si>
    <t>初級</t>
    <rPh sb="0" eb="2">
      <t>ショキュウ</t>
    </rPh>
    <phoneticPr fontId="6"/>
  </si>
  <si>
    <t>中級</t>
    <rPh sb="0" eb="2">
      <t>チュウキュウ</t>
    </rPh>
    <phoneticPr fontId="6"/>
  </si>
  <si>
    <t>上級</t>
    <rPh sb="0" eb="2">
      <t>ジョウキュウ</t>
    </rPh>
    <phoneticPr fontId="6"/>
  </si>
  <si>
    <t>入門</t>
    <rPh sb="0" eb="2">
      <t>ニュウモン</t>
    </rPh>
    <phoneticPr fontId="6"/>
  </si>
  <si>
    <t>重複</t>
    <rPh sb="0" eb="2">
      <t>チョウフク</t>
    </rPh>
    <phoneticPr fontId="6"/>
  </si>
  <si>
    <t>茨城県</t>
    <rPh sb="0" eb="3">
      <t>イバラキケン</t>
    </rPh>
    <phoneticPr fontId="4"/>
  </si>
  <si>
    <t>栃木県</t>
    <rPh sb="0" eb="3">
      <t>トチギケン</t>
    </rPh>
    <phoneticPr fontId="4"/>
  </si>
  <si>
    <t>群馬県</t>
    <rPh sb="0" eb="3">
      <t>グンマケン</t>
    </rPh>
    <phoneticPr fontId="4"/>
  </si>
  <si>
    <t>埼玉県</t>
    <rPh sb="0" eb="3">
      <t>サイタマケン</t>
    </rPh>
    <phoneticPr fontId="4"/>
  </si>
  <si>
    <t>千葉県</t>
    <rPh sb="0" eb="3">
      <t>チバケン</t>
    </rPh>
    <phoneticPr fontId="4"/>
  </si>
  <si>
    <t>東京都</t>
    <rPh sb="0" eb="2">
      <t>トウキョウ</t>
    </rPh>
    <rPh sb="2" eb="3">
      <t>ト</t>
    </rPh>
    <phoneticPr fontId="4"/>
  </si>
  <si>
    <t>神奈川県</t>
    <rPh sb="0" eb="4">
      <t>カナガワケン</t>
    </rPh>
    <phoneticPr fontId="4"/>
  </si>
  <si>
    <t>★エラー『＃Ｎ/Ａ』を含んだセルの合計値を出す</t>
    <rPh sb="11" eb="12">
      <t>フク</t>
    </rPh>
    <rPh sb="17" eb="19">
      <t>ゴウケイ</t>
    </rPh>
    <rPh sb="19" eb="20">
      <t>チ</t>
    </rPh>
    <rPh sb="21" eb="22">
      <t>ダ</t>
    </rPh>
    <phoneticPr fontId="4"/>
  </si>
  <si>
    <t>配列数式</t>
    <rPh sb="0" eb="2">
      <t>ハイレツ</t>
    </rPh>
    <rPh sb="2" eb="4">
      <t>スウシキ</t>
    </rPh>
    <phoneticPr fontId="4"/>
  </si>
  <si>
    <t>配列とは、複数のセルの集まりです。配列数式とは、配列（複数セル）を対象に、1つの数式を作成する式です。</t>
    <phoneticPr fontId="4"/>
  </si>
  <si>
    <t>配列数式で使う対象範囲（引数）は、全て同じ行数／列数である必要があります。配列数式は、1つ１つのセルを</t>
    <phoneticPr fontId="4"/>
  </si>
  <si>
    <t>対象に計算するしかない （作業列が必要）といった場合に活躍します。</t>
    <phoneticPr fontId="4"/>
  </si>
  <si>
    <t>↑エラーが出ない数式</t>
    <rPh sb="5" eb="6">
      <t>デ</t>
    </rPh>
    <rPh sb="8" eb="10">
      <t>スウシキ</t>
    </rPh>
    <phoneticPr fontId="4"/>
  </si>
  <si>
    <t>を入力し、最後に「Ｃｔｒｌ」+「Ｓｈｉｔ」+「Ｅｎｔｅｒ」を押して、{＝ＳＵＭ～～｝を付ける。自動的に入力されるもので、手入力しない</t>
    <rPh sb="1" eb="3">
      <t>ニュウリョク</t>
    </rPh>
    <rPh sb="5" eb="7">
      <t>サイゴ</t>
    </rPh>
    <rPh sb="30" eb="31">
      <t>オ</t>
    </rPh>
    <rPh sb="43" eb="44">
      <t>ツ</t>
    </rPh>
    <phoneticPr fontId="4"/>
  </si>
  <si>
    <t>例　=SUM(A1:A5)　エラーセルがある</t>
    <rPh sb="0" eb="1">
      <t>レイ</t>
    </rPh>
    <phoneticPr fontId="4"/>
  </si>
  <si>
    <t>　　=SUM(IF(ISERROR(A1:A5),0,A1:A5))　［Ctrl］キー＋［Shift］キー＋［Enter］キー</t>
    <phoneticPr fontId="4"/>
  </si>
  <si>
    <t>　　{=SUM(IF(ISERROR(A1:A5),0,A1:A5))}</t>
    <phoneticPr fontId="4"/>
  </si>
  <si>
    <t>分解すると</t>
    <rPh sb="0" eb="2">
      <t>ブンカイ</t>
    </rPh>
    <phoneticPr fontId="4"/>
  </si>
  <si>
    <t>=SUM(</t>
  </si>
  <si>
    <t>　IF(ISERROR(A1),0,A1),</t>
  </si>
  <si>
    <t>　IF(ISERROR(A2),0,A2),</t>
  </si>
  <si>
    <t>　IF(ISERROR(A3),0,A3),</t>
  </si>
  <si>
    <t>　IF(ISERROR(A4),0,A4),</t>
  </si>
  <si>
    <t>　IF(ISERROR(A5),0,A5))</t>
  </si>
  <si>
    <t>となる。</t>
    <phoneticPr fontId="4"/>
  </si>
  <si>
    <t>規　Ｂ入門</t>
    <rPh sb="0" eb="1">
      <t>キ</t>
    </rPh>
    <rPh sb="3" eb="5">
      <t>ニュウモン</t>
    </rPh>
    <phoneticPr fontId="6"/>
  </si>
  <si>
    <t>規　Ｂ初級</t>
    <rPh sb="0" eb="1">
      <t>キ</t>
    </rPh>
    <rPh sb="3" eb="5">
      <t>ショキュウ</t>
    </rPh>
    <phoneticPr fontId="6"/>
  </si>
  <si>
    <t>男子</t>
    <rPh sb="0" eb="2">
      <t>ダンシ</t>
    </rPh>
    <phoneticPr fontId="6"/>
  </si>
  <si>
    <t>R-B-6</t>
  </si>
  <si>
    <t>R-B-12</t>
  </si>
  <si>
    <t>R-B-15</t>
  </si>
  <si>
    <t>R-I-6</t>
  </si>
  <si>
    <t>R-A-6</t>
  </si>
  <si>
    <t>R-B-9</t>
  </si>
  <si>
    <t>R-I-9</t>
  </si>
  <si>
    <t>R-A-9</t>
  </si>
  <si>
    <t>R-I-12</t>
  </si>
  <si>
    <t>R-A-12</t>
  </si>
  <si>
    <t>R-I-15</t>
  </si>
  <si>
    <t>R-A-15</t>
  </si>
  <si>
    <t>R-B-18</t>
  </si>
  <si>
    <t>R-I-18</t>
  </si>
  <si>
    <t>R-A-18</t>
  </si>
  <si>
    <t>R-B-19</t>
  </si>
  <si>
    <t>R-I-19</t>
  </si>
  <si>
    <t>R-A-19</t>
  </si>
  <si>
    <t>R-N-6</t>
    <phoneticPr fontId="6"/>
  </si>
  <si>
    <t>R-N-9</t>
    <phoneticPr fontId="6"/>
  </si>
  <si>
    <t>R-N-12</t>
    <phoneticPr fontId="6"/>
  </si>
  <si>
    <t>R-N-15</t>
    <phoneticPr fontId="6"/>
  </si>
  <si>
    <t>R-N-18</t>
    <phoneticPr fontId="6"/>
  </si>
  <si>
    <t>R-N-19</t>
    <phoneticPr fontId="6"/>
  </si>
  <si>
    <t>規　B中級</t>
    <rPh sb="0" eb="1">
      <t>キ</t>
    </rPh>
    <rPh sb="3" eb="5">
      <t>チュウキュウ</t>
    </rPh>
    <phoneticPr fontId="6"/>
  </si>
  <si>
    <t>規　B上級</t>
    <rPh sb="0" eb="1">
      <t>キ</t>
    </rPh>
    <rPh sb="3" eb="5">
      <t>ジョウキュウ</t>
    </rPh>
    <phoneticPr fontId="6"/>
  </si>
  <si>
    <t>PP-B-6</t>
  </si>
  <si>
    <t>PP-B-9</t>
  </si>
  <si>
    <t>PP-B-12</t>
  </si>
  <si>
    <t>PP-B-15</t>
  </si>
  <si>
    <t>PP-B-18</t>
  </si>
  <si>
    <t>PP-B-19</t>
  </si>
  <si>
    <t>重複無し</t>
    <rPh sb="0" eb="2">
      <t>チョウフク</t>
    </rPh>
    <rPh sb="2" eb="3">
      <t>ナ</t>
    </rPh>
    <phoneticPr fontId="6"/>
  </si>
  <si>
    <t>PP初級</t>
    <rPh sb="2" eb="4">
      <t>ショキュウ</t>
    </rPh>
    <phoneticPr fontId="6"/>
  </si>
  <si>
    <t>PP中級</t>
    <rPh sb="2" eb="4">
      <t>チュウキュウ</t>
    </rPh>
    <phoneticPr fontId="6"/>
  </si>
  <si>
    <t>ソロトワール</t>
    <phoneticPr fontId="6"/>
  </si>
  <si>
    <t>トゥーバトン</t>
    <phoneticPr fontId="6"/>
  </si>
  <si>
    <t>スリーバトン</t>
    <phoneticPr fontId="6"/>
  </si>
  <si>
    <t>ペア</t>
    <phoneticPr fontId="6"/>
  </si>
  <si>
    <t>ソロストラット</t>
    <phoneticPr fontId="6"/>
  </si>
  <si>
    <t>No</t>
    <phoneticPr fontId="6"/>
  </si>
  <si>
    <t>個コード</t>
    <rPh sb="0" eb="1">
      <t>コ</t>
    </rPh>
    <phoneticPr fontId="6"/>
  </si>
  <si>
    <t>ペアNo.</t>
    <phoneticPr fontId="4"/>
  </si>
  <si>
    <t>No.</t>
    <phoneticPr fontId="4"/>
  </si>
  <si>
    <t>ペアコード</t>
    <phoneticPr fontId="4"/>
  </si>
  <si>
    <t>1-1</t>
    <phoneticPr fontId="4"/>
  </si>
  <si>
    <t>1-2</t>
    <phoneticPr fontId="4"/>
  </si>
  <si>
    <t>2-1</t>
    <phoneticPr fontId="4"/>
  </si>
  <si>
    <t>2-2</t>
    <phoneticPr fontId="4"/>
  </si>
  <si>
    <t>3-1</t>
    <phoneticPr fontId="4"/>
  </si>
  <si>
    <t>3-2</t>
    <phoneticPr fontId="4"/>
  </si>
  <si>
    <t>4-1</t>
    <phoneticPr fontId="4"/>
  </si>
  <si>
    <t>4-2</t>
    <phoneticPr fontId="4"/>
  </si>
  <si>
    <t>5-1</t>
    <phoneticPr fontId="4"/>
  </si>
  <si>
    <t>5-2</t>
    <phoneticPr fontId="4"/>
  </si>
  <si>
    <t>6-1</t>
    <phoneticPr fontId="4"/>
  </si>
  <si>
    <t>6-2</t>
    <phoneticPr fontId="4"/>
  </si>
  <si>
    <t>7-1</t>
    <phoneticPr fontId="4"/>
  </si>
  <si>
    <t>7-2</t>
    <phoneticPr fontId="4"/>
  </si>
  <si>
    <t>8-1</t>
    <phoneticPr fontId="4"/>
  </si>
  <si>
    <t>8-2</t>
    <phoneticPr fontId="4"/>
  </si>
  <si>
    <t>9-1</t>
    <phoneticPr fontId="4"/>
  </si>
  <si>
    <t>9-2</t>
    <phoneticPr fontId="4"/>
  </si>
  <si>
    <t>10-1</t>
    <phoneticPr fontId="4"/>
  </si>
  <si>
    <t>10-2</t>
    <phoneticPr fontId="4"/>
  </si>
  <si>
    <t>11-1</t>
    <phoneticPr fontId="4"/>
  </si>
  <si>
    <t>11-2</t>
    <phoneticPr fontId="4"/>
  </si>
  <si>
    <t>12-1</t>
    <phoneticPr fontId="4"/>
  </si>
  <si>
    <t>12-2</t>
    <phoneticPr fontId="4"/>
  </si>
  <si>
    <t>13-1</t>
    <phoneticPr fontId="4"/>
  </si>
  <si>
    <t>13-2</t>
    <phoneticPr fontId="4"/>
  </si>
  <si>
    <t>14-1</t>
    <phoneticPr fontId="4"/>
  </si>
  <si>
    <t>14-2</t>
    <phoneticPr fontId="4"/>
  </si>
  <si>
    <t>15-1</t>
    <phoneticPr fontId="4"/>
  </si>
  <si>
    <t>15-2</t>
    <phoneticPr fontId="4"/>
  </si>
  <si>
    <t>16-1</t>
    <phoneticPr fontId="4"/>
  </si>
  <si>
    <t>16-2</t>
    <phoneticPr fontId="4"/>
  </si>
  <si>
    <t>17-1</t>
    <phoneticPr fontId="4"/>
  </si>
  <si>
    <t>17-2</t>
    <phoneticPr fontId="4"/>
  </si>
  <si>
    <t>18-1</t>
    <phoneticPr fontId="4"/>
  </si>
  <si>
    <t>18-2</t>
    <phoneticPr fontId="4"/>
  </si>
  <si>
    <t>19-1</t>
    <phoneticPr fontId="4"/>
  </si>
  <si>
    <t>19-2</t>
    <phoneticPr fontId="4"/>
  </si>
  <si>
    <t>20-1</t>
    <phoneticPr fontId="4"/>
  </si>
  <si>
    <t>20-2</t>
    <phoneticPr fontId="4"/>
  </si>
  <si>
    <t>21-1</t>
    <phoneticPr fontId="4"/>
  </si>
  <si>
    <t>21-2</t>
    <phoneticPr fontId="4"/>
  </si>
  <si>
    <t>22-1</t>
    <phoneticPr fontId="4"/>
  </si>
  <si>
    <t>22-2</t>
    <phoneticPr fontId="4"/>
  </si>
  <si>
    <t>23-1</t>
    <phoneticPr fontId="4"/>
  </si>
  <si>
    <t>23-2</t>
    <phoneticPr fontId="4"/>
  </si>
  <si>
    <t>24-1</t>
    <phoneticPr fontId="4"/>
  </si>
  <si>
    <t>24-2</t>
    <phoneticPr fontId="4"/>
  </si>
  <si>
    <t>25-1</t>
    <phoneticPr fontId="4"/>
  </si>
  <si>
    <t>25-2</t>
    <phoneticPr fontId="4"/>
  </si>
  <si>
    <t>26-1</t>
    <phoneticPr fontId="4"/>
  </si>
  <si>
    <t>26-2</t>
    <phoneticPr fontId="4"/>
  </si>
  <si>
    <t>27-1</t>
    <phoneticPr fontId="4"/>
  </si>
  <si>
    <t>27-2</t>
    <phoneticPr fontId="4"/>
  </si>
  <si>
    <t>28-1</t>
    <phoneticPr fontId="4"/>
  </si>
  <si>
    <t>28-2</t>
    <phoneticPr fontId="4"/>
  </si>
  <si>
    <t>29-1</t>
    <phoneticPr fontId="4"/>
  </si>
  <si>
    <t>29-2</t>
    <phoneticPr fontId="4"/>
  </si>
  <si>
    <t>30-1</t>
    <phoneticPr fontId="4"/>
  </si>
  <si>
    <t>30-2</t>
    <phoneticPr fontId="4"/>
  </si>
  <si>
    <t>＜規定演技＞</t>
    <rPh sb="1" eb="3">
      <t>キテイ</t>
    </rPh>
    <rPh sb="3" eb="5">
      <t>エンギ</t>
    </rPh>
    <phoneticPr fontId="4"/>
  </si>
  <si>
    <t>＜関東６種目＞</t>
    <rPh sb="1" eb="3">
      <t>カントウ</t>
    </rPh>
    <rPh sb="4" eb="6">
      <t>シュモク</t>
    </rPh>
    <phoneticPr fontId="4"/>
  </si>
  <si>
    <t>エントリー数合計</t>
    <rPh sb="5" eb="6">
      <t>スウ</t>
    </rPh>
    <rPh sb="6" eb="8">
      <t>ゴウケイ</t>
    </rPh>
    <phoneticPr fontId="4"/>
  </si>
  <si>
    <t>ダンストワール</t>
    <phoneticPr fontId="6"/>
  </si>
  <si>
    <t>ソロトワール</t>
    <phoneticPr fontId="4"/>
  </si>
  <si>
    <t>トゥーバトン</t>
    <phoneticPr fontId="4"/>
  </si>
  <si>
    <t>スリーバトン</t>
    <phoneticPr fontId="4"/>
  </si>
  <si>
    <t>選手権</t>
    <rPh sb="0" eb="3">
      <t>センシュケン</t>
    </rPh>
    <phoneticPr fontId="6"/>
  </si>
  <si>
    <t>規定</t>
    <rPh sb="0" eb="2">
      <t>キテイ</t>
    </rPh>
    <phoneticPr fontId="4"/>
  </si>
  <si>
    <t>6種目</t>
    <rPh sb="1" eb="3">
      <t>シュモク</t>
    </rPh>
    <phoneticPr fontId="6"/>
  </si>
  <si>
    <t>6種目ペア</t>
    <rPh sb="1" eb="3">
      <t>シュモク</t>
    </rPh>
    <phoneticPr fontId="6"/>
  </si>
  <si>
    <t>OPペア</t>
    <phoneticPr fontId="6"/>
  </si>
  <si>
    <t>選ペア</t>
    <rPh sb="0" eb="1">
      <t>セン</t>
    </rPh>
    <phoneticPr fontId="4"/>
  </si>
  <si>
    <t>=SUM(IF(ISERROR(AL9:AP9),0,(AL9:AP9)))</t>
    <phoneticPr fontId="4"/>
  </si>
  <si>
    <t>トゥーバトン</t>
    <phoneticPr fontId="4"/>
  </si>
  <si>
    <t>ダンストワール</t>
    <phoneticPr fontId="4"/>
  </si>
  <si>
    <t>ソロストラット</t>
    <phoneticPr fontId="4"/>
  </si>
  <si>
    <t>ペア</t>
    <phoneticPr fontId="4"/>
  </si>
  <si>
    <t>スリーバトン</t>
    <phoneticPr fontId="4"/>
  </si>
  <si>
    <t>団体情報　入力欄</t>
    <rPh sb="0" eb="2">
      <t>ダンタイ</t>
    </rPh>
    <rPh sb="2" eb="4">
      <t>ジョウホウ</t>
    </rPh>
    <rPh sb="5" eb="7">
      <t>ニュウリョク</t>
    </rPh>
    <rPh sb="7" eb="8">
      <t>ラン</t>
    </rPh>
    <phoneticPr fontId="4"/>
  </si>
  <si>
    <t>★</t>
    <phoneticPr fontId="4"/>
  </si>
  <si>
    <t>下の事項を全て入力すること</t>
    <rPh sb="0" eb="1">
      <t>シタ</t>
    </rPh>
    <rPh sb="2" eb="4">
      <t>ジコウ</t>
    </rPh>
    <rPh sb="5" eb="6">
      <t>スベ</t>
    </rPh>
    <rPh sb="7" eb="9">
      <t>ニュウリョク</t>
    </rPh>
    <phoneticPr fontId="4"/>
  </si>
  <si>
    <t>所属都県</t>
    <rPh sb="0" eb="2">
      <t>ショゾク</t>
    </rPh>
    <rPh sb="2" eb="4">
      <t>トケン</t>
    </rPh>
    <phoneticPr fontId="4"/>
  </si>
  <si>
    <t>団体ID</t>
    <rPh sb="0" eb="2">
      <t>ダンタイ</t>
    </rPh>
    <phoneticPr fontId="4"/>
  </si>
  <si>
    <t>団体代表者</t>
    <rPh sb="0" eb="2">
      <t>ダンタイ</t>
    </rPh>
    <rPh sb="2" eb="5">
      <t>ダイヒョウシャ</t>
    </rPh>
    <phoneticPr fontId="4"/>
  </si>
  <si>
    <t>ＴＥＬ</t>
    <phoneticPr fontId="4"/>
  </si>
  <si>
    <t>ＦＡＸ</t>
    <phoneticPr fontId="4"/>
  </si>
  <si>
    <t>団体情報入力欄を入力してください。</t>
    <rPh sb="0" eb="4">
      <t>ダンタイジョウホウ</t>
    </rPh>
    <rPh sb="4" eb="6">
      <t>ニュウリョク</t>
    </rPh>
    <rPh sb="6" eb="7">
      <t>ラン</t>
    </rPh>
    <rPh sb="8" eb="10">
      <t>ニュウリョク</t>
    </rPh>
    <phoneticPr fontId="3"/>
  </si>
  <si>
    <t>大会連絡責任者</t>
    <rPh sb="0" eb="2">
      <t>タイカイ</t>
    </rPh>
    <rPh sb="2" eb="4">
      <t>レンラク</t>
    </rPh>
    <rPh sb="4" eb="6">
      <t>セキニン</t>
    </rPh>
    <rPh sb="6" eb="7">
      <t>シャ</t>
    </rPh>
    <phoneticPr fontId="4"/>
  </si>
  <si>
    <t>大会連絡責任者
携帯番号</t>
    <rPh sb="0" eb="2">
      <t>タイカイ</t>
    </rPh>
    <rPh sb="2" eb="4">
      <t>レンラク</t>
    </rPh>
    <rPh sb="4" eb="7">
      <t>セキニンシャ</t>
    </rPh>
    <rPh sb="8" eb="10">
      <t>ケイタイ</t>
    </rPh>
    <rPh sb="10" eb="12">
      <t>バンゴウ</t>
    </rPh>
    <phoneticPr fontId="4"/>
  </si>
  <si>
    <t>大会連絡
責任者氏名</t>
    <rPh sb="0" eb="2">
      <t>タイカイ</t>
    </rPh>
    <rPh sb="2" eb="4">
      <t>レンラク</t>
    </rPh>
    <rPh sb="5" eb="8">
      <t>セキニンシャ</t>
    </rPh>
    <rPh sb="8" eb="10">
      <t>シメイ</t>
    </rPh>
    <phoneticPr fontId="4"/>
  </si>
  <si>
    <t>大会連絡
責任者携帯番号</t>
    <rPh sb="0" eb="2">
      <t>タイカイ</t>
    </rPh>
    <rPh sb="2" eb="4">
      <t>レンラク</t>
    </rPh>
    <rPh sb="5" eb="8">
      <t>セキニンシャ</t>
    </rPh>
    <rPh sb="8" eb="10">
      <t>ケイタイ</t>
    </rPh>
    <rPh sb="10" eb="12">
      <t>バンゴウ</t>
    </rPh>
    <phoneticPr fontId="4"/>
  </si>
  <si>
    <t>スリーバトン</t>
    <phoneticPr fontId="4"/>
  </si>
  <si>
    <t>ソロトワール</t>
    <phoneticPr fontId="6"/>
  </si>
  <si>
    <t>選手権</t>
    <rPh sb="0" eb="3">
      <t>センシュケン</t>
    </rPh>
    <phoneticPr fontId="6"/>
  </si>
  <si>
    <t>反映コード</t>
    <rPh sb="0" eb="2">
      <t>ハンエイ</t>
    </rPh>
    <phoneticPr fontId="3"/>
  </si>
  <si>
    <t>種目</t>
    <rPh sb="0" eb="2">
      <t>シュモク</t>
    </rPh>
    <phoneticPr fontId="3"/>
  </si>
  <si>
    <t>ｱｰﾃｨｽﾃｨｯｸﾄﾜｰﾙ</t>
  </si>
  <si>
    <t>区分</t>
    <rPh sb="0" eb="2">
      <t>クブン</t>
    </rPh>
    <phoneticPr fontId="4"/>
  </si>
  <si>
    <t>OP　AT</t>
    <phoneticPr fontId="4"/>
  </si>
  <si>
    <t>６種目</t>
    <rPh sb="1" eb="3">
      <t>シュモク</t>
    </rPh>
    <phoneticPr fontId="4"/>
  </si>
  <si>
    <t>オープン</t>
    <phoneticPr fontId="4"/>
  </si>
  <si>
    <t>選手権複数種目</t>
    <rPh sb="0" eb="3">
      <t>センシュケン</t>
    </rPh>
    <rPh sb="3" eb="5">
      <t>フクスウ</t>
    </rPh>
    <rPh sb="5" eb="7">
      <t>シュモク</t>
    </rPh>
    <phoneticPr fontId="4"/>
  </si>
  <si>
    <t>＜オープン＞</t>
    <phoneticPr fontId="4"/>
  </si>
  <si>
    <t>＜選手権＞</t>
    <rPh sb="1" eb="4">
      <t>センシュケン</t>
    </rPh>
    <phoneticPr fontId="4"/>
  </si>
  <si>
    <t>OP　AP</t>
    <phoneticPr fontId="4"/>
  </si>
  <si>
    <t>ｱｰﾃｨｽﾃｨｯｸ
ﾄﾜｰﾙ</t>
    <phoneticPr fontId="4"/>
  </si>
  <si>
    <t>ｱｰﾃｨｽﾃｨｯｸ
ﾍﾟｱ</t>
    <phoneticPr fontId="4"/>
  </si>
  <si>
    <t>ふりがな</t>
    <phoneticPr fontId="4"/>
  </si>
  <si>
    <t>かんとう　はなこ</t>
    <phoneticPr fontId="4"/>
  </si>
  <si>
    <t>かんとう　のぞみ</t>
    <phoneticPr fontId="4"/>
  </si>
  <si>
    <t>かんとう　けんた</t>
    <phoneticPr fontId="4"/>
  </si>
  <si>
    <t>かんとう　たろう</t>
    <phoneticPr fontId="4"/>
  </si>
  <si>
    <t>S-N-12</t>
    <phoneticPr fontId="4"/>
  </si>
  <si>
    <t>S-N-15</t>
    <phoneticPr fontId="4"/>
  </si>
  <si>
    <t>S-N-18</t>
    <phoneticPr fontId="4"/>
  </si>
  <si>
    <t>S-N-19</t>
  </si>
  <si>
    <t>S-B-12</t>
  </si>
  <si>
    <t>S-B-15</t>
  </si>
  <si>
    <t>S-B-18</t>
  </si>
  <si>
    <t>S-B-19</t>
  </si>
  <si>
    <t>S-I-12</t>
  </si>
  <si>
    <t>S-I-15</t>
  </si>
  <si>
    <t>S-I-18</t>
  </si>
  <si>
    <t>S-I-19</t>
  </si>
  <si>
    <t>S-A-12</t>
  </si>
  <si>
    <t>S-A-15</t>
  </si>
  <si>
    <t>S-A-18</t>
  </si>
  <si>
    <t>S-A-19</t>
  </si>
  <si>
    <t>2B-B-12</t>
  </si>
  <si>
    <t>2B-I-12</t>
  </si>
  <si>
    <t>2B-A-12</t>
  </si>
  <si>
    <t>2B-B-15</t>
  </si>
  <si>
    <t>2B-I-15</t>
  </si>
  <si>
    <t>2B-A-15</t>
  </si>
  <si>
    <t>2B-B-18</t>
  </si>
  <si>
    <t>2B-I-18</t>
  </si>
  <si>
    <t>2B-A-18</t>
  </si>
  <si>
    <t>2B-B-19</t>
  </si>
  <si>
    <t>2B-I-19</t>
  </si>
  <si>
    <t>2B-A-19</t>
  </si>
  <si>
    <t>3B-B-12</t>
  </si>
  <si>
    <t>3B-A-12</t>
  </si>
  <si>
    <t>3B-B-15</t>
  </si>
  <si>
    <t>3B-A-15</t>
  </si>
  <si>
    <t>3B-B-18</t>
  </si>
  <si>
    <t>3B-A-18</t>
  </si>
  <si>
    <t>3B-B-19</t>
  </si>
  <si>
    <t>3B-A-19</t>
  </si>
  <si>
    <t>P-B-12</t>
  </si>
  <si>
    <t>P-I-12</t>
  </si>
  <si>
    <t>P-A-12</t>
  </si>
  <si>
    <t>P-B-15</t>
  </si>
  <si>
    <t>P-I-15</t>
  </si>
  <si>
    <t>P-A-15</t>
  </si>
  <si>
    <t>P-B-18</t>
  </si>
  <si>
    <t>P-I-18</t>
  </si>
  <si>
    <t>P-A-18</t>
  </si>
  <si>
    <t>P-B-19</t>
  </si>
  <si>
    <t>P-I-19</t>
  </si>
  <si>
    <t>P-A-19</t>
  </si>
  <si>
    <t>SS-B-12</t>
  </si>
  <si>
    <t>SS-I-12</t>
  </si>
  <si>
    <t>SS-A-12</t>
  </si>
  <si>
    <t>SS-B-15</t>
  </si>
  <si>
    <t>SS-I-15</t>
  </si>
  <si>
    <t>SS-A-15</t>
  </si>
  <si>
    <t>SS-B-18</t>
  </si>
  <si>
    <t>SS-I-18</t>
  </si>
  <si>
    <t>SS-A-18</t>
  </si>
  <si>
    <t>SS-B-19</t>
  </si>
  <si>
    <t>SS-I-19</t>
  </si>
  <si>
    <t>SS-A-19</t>
  </si>
  <si>
    <t>D-B-12</t>
  </si>
  <si>
    <t>D-I-12</t>
  </si>
  <si>
    <t>D-A-12</t>
  </si>
  <si>
    <t>D-B-15</t>
  </si>
  <si>
    <t>D-I-15</t>
  </si>
  <si>
    <t>D-A-15</t>
  </si>
  <si>
    <t>D-B-18</t>
  </si>
  <si>
    <t>D-I-18</t>
  </si>
  <si>
    <t>D-A-18</t>
  </si>
  <si>
    <t>D-B-19</t>
  </si>
  <si>
    <t>D-I-19</t>
  </si>
  <si>
    <t>D-A-19</t>
  </si>
  <si>
    <t>年齢区分</t>
    <rPh sb="0" eb="2">
      <t>ネンレイ</t>
    </rPh>
    <rPh sb="2" eb="4">
      <t>クブン</t>
    </rPh>
    <phoneticPr fontId="3"/>
  </si>
  <si>
    <t>選手権</t>
    <rPh sb="0" eb="3">
      <t>センシュケン</t>
    </rPh>
    <phoneticPr fontId="6"/>
  </si>
  <si>
    <t>R-N-6</t>
  </si>
  <si>
    <t>R-N-9</t>
  </si>
  <si>
    <t>R-N-12</t>
  </si>
  <si>
    <t>R-N-15</t>
  </si>
  <si>
    <t>R-N-18</t>
  </si>
  <si>
    <t>R-N-19</t>
  </si>
  <si>
    <t>男子</t>
    <rPh sb="0" eb="2">
      <t>ダンシ</t>
    </rPh>
    <phoneticPr fontId="4"/>
  </si>
  <si>
    <t>S-N-12</t>
  </si>
  <si>
    <t>S-N-15</t>
  </si>
  <si>
    <t>S-N-18</t>
  </si>
  <si>
    <t>アーティスティックペア</t>
    <phoneticPr fontId="4"/>
  </si>
  <si>
    <t>PP-I-6</t>
  </si>
  <si>
    <t>PP-I-9</t>
  </si>
  <si>
    <t>PP-I-12</t>
  </si>
  <si>
    <t>PP-I-15</t>
  </si>
  <si>
    <t>PP-I-18</t>
  </si>
  <si>
    <t>PP-I-19</t>
  </si>
  <si>
    <t>登録〒</t>
    <rPh sb="0" eb="2">
      <t>トウロク</t>
    </rPh>
    <phoneticPr fontId="4"/>
  </si>
  <si>
    <t>登録住所</t>
    <rPh sb="0" eb="2">
      <t>トウロク</t>
    </rPh>
    <rPh sb="2" eb="4">
      <t>ジュウショ</t>
    </rPh>
    <phoneticPr fontId="4"/>
  </si>
  <si>
    <t>規　PP初級</t>
    <rPh sb="0" eb="1">
      <t>キ</t>
    </rPh>
    <rPh sb="4" eb="6">
      <t>ショキュウ</t>
    </rPh>
    <phoneticPr fontId="3"/>
  </si>
  <si>
    <t>規　PP中級</t>
    <rPh sb="0" eb="1">
      <t>キ</t>
    </rPh>
    <rPh sb="4" eb="6">
      <t>チュウキュウ</t>
    </rPh>
    <phoneticPr fontId="3"/>
  </si>
  <si>
    <t>スリーバトン女子</t>
    <rPh sb="6" eb="8">
      <t>ジョシ</t>
    </rPh>
    <phoneticPr fontId="3"/>
  </si>
  <si>
    <t>ペア</t>
    <phoneticPr fontId="3"/>
  </si>
  <si>
    <t>ダンストワール</t>
    <phoneticPr fontId="3"/>
  </si>
  <si>
    <t>シリアル値</t>
    <rPh sb="4" eb="5">
      <t>チ</t>
    </rPh>
    <phoneticPr fontId="3"/>
  </si>
  <si>
    <t>割当数字</t>
    <rPh sb="0" eb="2">
      <t>ワリアテ</t>
    </rPh>
    <rPh sb="2" eb="4">
      <t>スウジ</t>
    </rPh>
    <phoneticPr fontId="45"/>
  </si>
  <si>
    <t>～</t>
    <phoneticPr fontId="3"/>
  </si>
  <si>
    <t>入門</t>
    <rPh sb="0" eb="2">
      <t>ニュウモン</t>
    </rPh>
    <phoneticPr fontId="4"/>
  </si>
  <si>
    <t>初級</t>
    <rPh sb="0" eb="2">
      <t>ショキュウ</t>
    </rPh>
    <phoneticPr fontId="4"/>
  </si>
  <si>
    <t>中級</t>
    <rPh sb="0" eb="2">
      <t>チュウキュウ</t>
    </rPh>
    <phoneticPr fontId="4"/>
  </si>
  <si>
    <t>上級</t>
    <rPh sb="0" eb="2">
      <t>ジョウキュウ</t>
    </rPh>
    <phoneticPr fontId="4"/>
  </si>
  <si>
    <t>規定</t>
    <rPh sb="0" eb="2">
      <t>キテイ</t>
    </rPh>
    <phoneticPr fontId="4"/>
  </si>
  <si>
    <t>選手権</t>
    <rPh sb="0" eb="3">
      <t>センシュケン</t>
    </rPh>
    <phoneticPr fontId="4"/>
  </si>
  <si>
    <t>オープン</t>
    <phoneticPr fontId="4"/>
  </si>
  <si>
    <t>ソロトワール</t>
    <phoneticPr fontId="4"/>
  </si>
  <si>
    <t>トゥーバトン</t>
    <phoneticPr fontId="4"/>
  </si>
  <si>
    <t>スリーバトン</t>
    <phoneticPr fontId="4"/>
  </si>
  <si>
    <t>ソロストラット</t>
    <phoneticPr fontId="4"/>
  </si>
  <si>
    <t>ダンストワール</t>
    <phoneticPr fontId="4"/>
  </si>
  <si>
    <t>ペア(1人あたり</t>
    <rPh sb="4" eb="5">
      <t>ニン</t>
    </rPh>
    <phoneticPr fontId="4"/>
  </si>
  <si>
    <t>参加費</t>
    <rPh sb="0" eb="3">
      <t>サンカヒ</t>
    </rPh>
    <phoneticPr fontId="4"/>
  </si>
  <si>
    <t>性別区分無し</t>
    <rPh sb="0" eb="2">
      <t>セイベツ</t>
    </rPh>
    <rPh sb="2" eb="4">
      <t>クブン</t>
    </rPh>
    <rPh sb="4" eb="5">
      <t>ナ</t>
    </rPh>
    <phoneticPr fontId="4"/>
  </si>
  <si>
    <t>ソロトワール</t>
    <phoneticPr fontId="3"/>
  </si>
  <si>
    <t>トゥーバトン</t>
    <phoneticPr fontId="3"/>
  </si>
  <si>
    <t>スリーバトン</t>
    <phoneticPr fontId="3"/>
  </si>
  <si>
    <t>2日目　規定演技</t>
    <rPh sb="1" eb="2">
      <t>ニチ</t>
    </rPh>
    <rPh sb="2" eb="3">
      <t>メ</t>
    </rPh>
    <rPh sb="4" eb="6">
      <t>キテイ</t>
    </rPh>
    <rPh sb="6" eb="8">
      <t>エンギ</t>
    </rPh>
    <phoneticPr fontId="6"/>
  </si>
  <si>
    <t>計</t>
    <rPh sb="0" eb="1">
      <t>ケイ</t>
    </rPh>
    <phoneticPr fontId="6"/>
  </si>
  <si>
    <t>参加費改訂の場合は、ここを修正</t>
    <rPh sb="0" eb="3">
      <t>サンカヒ</t>
    </rPh>
    <rPh sb="3" eb="5">
      <t>カイテイ</t>
    </rPh>
    <rPh sb="6" eb="8">
      <t>バアイ</t>
    </rPh>
    <rPh sb="13" eb="15">
      <t>シュウセイ</t>
    </rPh>
    <phoneticPr fontId="4"/>
  </si>
  <si>
    <r>
      <t xml:space="preserve">年度末
年齢
</t>
    </r>
    <r>
      <rPr>
        <sz val="10"/>
        <color theme="1"/>
        <rFont val="ＭＳ Ｐゴシック"/>
        <family val="3"/>
        <charset val="128"/>
        <scheme val="minor"/>
      </rPr>
      <t>(学年)</t>
    </r>
    <rPh sb="0" eb="3">
      <t>ネンドマツ</t>
    </rPh>
    <rPh sb="4" eb="6">
      <t>ネンレイ</t>
    </rPh>
    <rPh sb="8" eb="10">
      <t>ガクネン</t>
    </rPh>
    <phoneticPr fontId="6"/>
  </si>
  <si>
    <t>P-B-09</t>
    <phoneticPr fontId="4"/>
  </si>
  <si>
    <t>P-I-09</t>
    <phoneticPr fontId="4"/>
  </si>
  <si>
    <t>P-A-09</t>
    <phoneticPr fontId="4"/>
  </si>
  <si>
    <t>P-B-09</t>
    <phoneticPr fontId="6"/>
  </si>
  <si>
    <t>P-I-09</t>
    <phoneticPr fontId="6"/>
  </si>
  <si>
    <t>P-A-09</t>
    <phoneticPr fontId="6"/>
  </si>
  <si>
    <t>キンダー部門</t>
    <rPh sb="4" eb="6">
      <t>ブモン</t>
    </rPh>
    <phoneticPr fontId="4"/>
  </si>
  <si>
    <t>未就学児</t>
    <rPh sb="0" eb="4">
      <t>ミシュウガクジ</t>
    </rPh>
    <phoneticPr fontId="4"/>
  </si>
  <si>
    <t>←シリアル値は日付を標準または数値で表示</t>
    <rPh sb="5" eb="6">
      <t>チ</t>
    </rPh>
    <rPh sb="7" eb="9">
      <t>ヒヅケ</t>
    </rPh>
    <rPh sb="10" eb="12">
      <t>ヒョウジュン</t>
    </rPh>
    <rPh sb="15" eb="17">
      <t>スウチ</t>
    </rPh>
    <rPh sb="18" eb="20">
      <t>ヒョウジ</t>
    </rPh>
    <phoneticPr fontId="4"/>
  </si>
  <si>
    <t>←赤枠内は毎年更新する。</t>
    <phoneticPr fontId="4"/>
  </si>
  <si>
    <t>入力シート学年更新日　H列</t>
    <rPh sb="0" eb="2">
      <t>ニュウリョク</t>
    </rPh>
    <rPh sb="5" eb="7">
      <t>ガクネン</t>
    </rPh>
    <rPh sb="7" eb="10">
      <t>コウシンビ</t>
    </rPh>
    <rPh sb="12" eb="13">
      <t>レツ</t>
    </rPh>
    <phoneticPr fontId="4"/>
  </si>
  <si>
    <t>生年月日シリアル値</t>
    <rPh sb="0" eb="2">
      <t>セイネン</t>
    </rPh>
    <rPh sb="2" eb="4">
      <t>ガッピ</t>
    </rPh>
    <rPh sb="8" eb="9">
      <t>チ</t>
    </rPh>
    <phoneticPr fontId="6"/>
  </si>
  <si>
    <t>ソロトワール</t>
    <phoneticPr fontId="3"/>
  </si>
  <si>
    <t>男子</t>
    <rPh sb="0" eb="2">
      <t>ダンシ</t>
    </rPh>
    <phoneticPr fontId="3"/>
  </si>
  <si>
    <t>男子含む</t>
    <rPh sb="0" eb="2">
      <t>ダンシ</t>
    </rPh>
    <rPh sb="2" eb="3">
      <t>フク</t>
    </rPh>
    <phoneticPr fontId="6"/>
  </si>
  <si>
    <t>S表記</t>
    <rPh sb="1" eb="3">
      <t>ヒョウキ</t>
    </rPh>
    <phoneticPr fontId="3"/>
  </si>
  <si>
    <t>他表記</t>
    <rPh sb="0" eb="1">
      <t>ホカ</t>
    </rPh>
    <rPh sb="1" eb="3">
      <t>ヒョウキ</t>
    </rPh>
    <phoneticPr fontId="3"/>
  </si>
  <si>
    <t>2B・3B表記</t>
    <rPh sb="5" eb="7">
      <t>ヒョウキ</t>
    </rPh>
    <phoneticPr fontId="3"/>
  </si>
  <si>
    <t>検索値</t>
    <rPh sb="0" eb="2">
      <t>ケンサク</t>
    </rPh>
    <rPh sb="2" eb="3">
      <t>チ</t>
    </rPh>
    <phoneticPr fontId="3"/>
  </si>
  <si>
    <t>割当検索値</t>
    <rPh sb="0" eb="2">
      <t>ワリアテ</t>
    </rPh>
    <rPh sb="2" eb="4">
      <t>ケンサク</t>
    </rPh>
    <rPh sb="4" eb="5">
      <t>チ</t>
    </rPh>
    <phoneticPr fontId="45"/>
  </si>
  <si>
    <t>AJ列表記</t>
    <rPh sb="2" eb="3">
      <t>レツ</t>
    </rPh>
    <rPh sb="3" eb="5">
      <t>ヒョウキ</t>
    </rPh>
    <phoneticPr fontId="4"/>
  </si>
  <si>
    <t>表記</t>
    <rPh sb="0" eb="2">
      <t>ヒョウキ</t>
    </rPh>
    <phoneticPr fontId="6"/>
  </si>
  <si>
    <t>表記</t>
    <rPh sb="0" eb="2">
      <t>ヒョウキ</t>
    </rPh>
    <phoneticPr fontId="4"/>
  </si>
  <si>
    <t>ジュニア</t>
    <phoneticPr fontId="3"/>
  </si>
  <si>
    <t>シニア</t>
    <phoneticPr fontId="3"/>
  </si>
  <si>
    <t>19歳以上</t>
    <rPh sb="2" eb="3">
      <t>サイ</t>
    </rPh>
    <rPh sb="3" eb="5">
      <t>イジョウ</t>
    </rPh>
    <phoneticPr fontId="3"/>
  </si>
  <si>
    <t>大学・一般</t>
    <rPh sb="0" eb="2">
      <t>ダイガク</t>
    </rPh>
    <rPh sb="3" eb="5">
      <t>イッパン</t>
    </rPh>
    <phoneticPr fontId="3"/>
  </si>
  <si>
    <t>Ｏ－１９</t>
    <phoneticPr fontId="3"/>
  </si>
  <si>
    <t>未就学</t>
    <rPh sb="0" eb="3">
      <t>ミシュウガク</t>
    </rPh>
    <phoneticPr fontId="4"/>
  </si>
  <si>
    <t>Ｕ－６</t>
    <phoneticPr fontId="3"/>
  </si>
  <si>
    <t>全国共通
規定演技</t>
    <rPh sb="0" eb="2">
      <t>ゼンコク</t>
    </rPh>
    <rPh sb="2" eb="4">
      <t>キョウツウ</t>
    </rPh>
    <rPh sb="5" eb="7">
      <t>キテイ</t>
    </rPh>
    <rPh sb="7" eb="9">
      <t>エンギ</t>
    </rPh>
    <phoneticPr fontId="6"/>
  </si>
  <si>
    <t>関東オープン　キンダ―部門</t>
    <rPh sb="0" eb="2">
      <t>カントウ</t>
    </rPh>
    <rPh sb="11" eb="13">
      <t>ブモン</t>
    </rPh>
    <phoneticPr fontId="4"/>
  </si>
  <si>
    <t>団体名</t>
    <rPh sb="0" eb="2">
      <t>ダンタイ</t>
    </rPh>
    <rPh sb="2" eb="3">
      <t>メイ</t>
    </rPh>
    <phoneticPr fontId="3"/>
  </si>
  <si>
    <t>団体代表者者名</t>
    <rPh sb="0" eb="2">
      <t>ダンタイ</t>
    </rPh>
    <rPh sb="2" eb="5">
      <t>ダイヒョウシャ</t>
    </rPh>
    <rPh sb="5" eb="6">
      <t>シャ</t>
    </rPh>
    <rPh sb="6" eb="7">
      <t>メイ</t>
    </rPh>
    <phoneticPr fontId="3"/>
  </si>
  <si>
    <t>都県</t>
    <rPh sb="0" eb="2">
      <t>トケン</t>
    </rPh>
    <phoneticPr fontId="3"/>
  </si>
  <si>
    <t>団体住所</t>
    <rPh sb="0" eb="2">
      <t>ダンタイ</t>
    </rPh>
    <rPh sb="2" eb="4">
      <t>ジュウショ</t>
    </rPh>
    <phoneticPr fontId="3"/>
  </si>
  <si>
    <t>ＴＥＬ</t>
    <phoneticPr fontId="3"/>
  </si>
  <si>
    <t>ＦＡＸ</t>
    <phoneticPr fontId="3"/>
  </si>
  <si>
    <t>大会連絡責任者名</t>
    <rPh sb="0" eb="2">
      <t>タイカイ</t>
    </rPh>
    <rPh sb="2" eb="4">
      <t>レンラク</t>
    </rPh>
    <rPh sb="4" eb="7">
      <t>セキニンシャ</t>
    </rPh>
    <rPh sb="7" eb="8">
      <t>メイ</t>
    </rPh>
    <phoneticPr fontId="3"/>
  </si>
  <si>
    <t>大会連絡責任者携帯番号</t>
    <rPh sb="0" eb="2">
      <t>タイカイ</t>
    </rPh>
    <rPh sb="2" eb="4">
      <t>レンラク</t>
    </rPh>
    <rPh sb="4" eb="7">
      <t>セキニンシャ</t>
    </rPh>
    <rPh sb="7" eb="9">
      <t>ケイタイ</t>
    </rPh>
    <rPh sb="9" eb="11">
      <t>バンゴウ</t>
    </rPh>
    <phoneticPr fontId="3"/>
  </si>
  <si>
    <t>連絡mailアドレス</t>
    <rPh sb="0" eb="2">
      <t>レンラク</t>
    </rPh>
    <phoneticPr fontId="3"/>
  </si>
  <si>
    <t>団体連絡者以外への送付先</t>
    <rPh sb="0" eb="2">
      <t>ダンタイ</t>
    </rPh>
    <rPh sb="2" eb="4">
      <t>レンラク</t>
    </rPh>
    <rPh sb="4" eb="5">
      <t>シャ</t>
    </rPh>
    <rPh sb="5" eb="7">
      <t>イガイ</t>
    </rPh>
    <rPh sb="9" eb="12">
      <t>ソウフサキ</t>
    </rPh>
    <phoneticPr fontId="3"/>
  </si>
  <si>
    <t>参加費</t>
    <rPh sb="0" eb="3">
      <t>サンカヒ</t>
    </rPh>
    <phoneticPr fontId="3"/>
  </si>
  <si>
    <t>※エントリー別人数表に基づき数字はすべて自動ででます。</t>
    <rPh sb="6" eb="7">
      <t>ベツ</t>
    </rPh>
    <rPh sb="7" eb="9">
      <t>ニンズウ</t>
    </rPh>
    <rPh sb="9" eb="10">
      <t>ヒョウ</t>
    </rPh>
    <rPh sb="11" eb="12">
      <t>モトヅ</t>
    </rPh>
    <rPh sb="14" eb="16">
      <t>スウジ</t>
    </rPh>
    <rPh sb="20" eb="22">
      <t>ジドウ</t>
    </rPh>
    <phoneticPr fontId="3"/>
  </si>
  <si>
    <t>関東オープン</t>
    <rPh sb="0" eb="2">
      <t>カントウ</t>
    </rPh>
    <phoneticPr fontId="3"/>
  </si>
  <si>
    <t>全国共通規定演技</t>
    <rPh sb="0" eb="2">
      <t>ゼンコク</t>
    </rPh>
    <rPh sb="2" eb="4">
      <t>キョウツウ</t>
    </rPh>
    <rPh sb="4" eb="6">
      <t>キテイ</t>
    </rPh>
    <rPh sb="6" eb="8">
      <t>エンギ</t>
    </rPh>
    <phoneticPr fontId="3"/>
  </si>
  <si>
    <t>×</t>
    <phoneticPr fontId="3"/>
  </si>
  <si>
    <t>=</t>
    <phoneticPr fontId="3"/>
  </si>
  <si>
    <t>=</t>
    <phoneticPr fontId="3"/>
  </si>
  <si>
    <t>×</t>
    <phoneticPr fontId="3"/>
  </si>
  <si>
    <t>=</t>
    <phoneticPr fontId="3"/>
  </si>
  <si>
    <t>=</t>
    <phoneticPr fontId="3"/>
  </si>
  <si>
    <t>×</t>
    <phoneticPr fontId="3"/>
  </si>
  <si>
    <t>=</t>
    <phoneticPr fontId="3"/>
  </si>
  <si>
    <t>スリーバトン</t>
    <phoneticPr fontId="3"/>
  </si>
  <si>
    <t>スリーバトン</t>
    <phoneticPr fontId="3"/>
  </si>
  <si>
    <t>×</t>
    <phoneticPr fontId="3"/>
  </si>
  <si>
    <t>=</t>
    <phoneticPr fontId="3"/>
  </si>
  <si>
    <t>ソロストラット</t>
    <phoneticPr fontId="3"/>
  </si>
  <si>
    <t>=</t>
    <phoneticPr fontId="3"/>
  </si>
  <si>
    <t>小計①</t>
    <rPh sb="0" eb="2">
      <t>ショウケイ</t>
    </rPh>
    <phoneticPr fontId="3"/>
  </si>
  <si>
    <t>ペア</t>
    <phoneticPr fontId="3"/>
  </si>
  <si>
    <t>関東６種目</t>
    <rPh sb="0" eb="2">
      <t>カントウ</t>
    </rPh>
    <rPh sb="3" eb="5">
      <t>シュモク</t>
    </rPh>
    <phoneticPr fontId="3"/>
  </si>
  <si>
    <t>ソロトワール</t>
    <phoneticPr fontId="3"/>
  </si>
  <si>
    <t>入門</t>
    <rPh sb="0" eb="2">
      <t>ニュウモン</t>
    </rPh>
    <phoneticPr fontId="3"/>
  </si>
  <si>
    <t>×</t>
    <phoneticPr fontId="3"/>
  </si>
  <si>
    <t>初級</t>
    <rPh sb="0" eb="2">
      <t>ショキュウ</t>
    </rPh>
    <phoneticPr fontId="3"/>
  </si>
  <si>
    <t>=</t>
    <phoneticPr fontId="3"/>
  </si>
  <si>
    <t>中級</t>
    <rPh sb="0" eb="2">
      <t>チュウキュウ</t>
    </rPh>
    <phoneticPr fontId="3"/>
  </si>
  <si>
    <t>上級</t>
    <rPh sb="0" eb="2">
      <t>ジョウキュウ</t>
    </rPh>
    <phoneticPr fontId="3"/>
  </si>
  <si>
    <t>トゥーバトン</t>
    <phoneticPr fontId="3"/>
  </si>
  <si>
    <t>=</t>
    <phoneticPr fontId="3"/>
  </si>
  <si>
    <t>ペア</t>
    <phoneticPr fontId="3"/>
  </si>
  <si>
    <t>小計②</t>
    <rPh sb="0" eb="2">
      <t>ショウケイ</t>
    </rPh>
    <phoneticPr fontId="3"/>
  </si>
  <si>
    <t>×</t>
    <phoneticPr fontId="3"/>
  </si>
  <si>
    <t>=</t>
    <phoneticPr fontId="3"/>
  </si>
  <si>
    <t>合計金額をよく確認してお振込み下さい。</t>
    <rPh sb="0" eb="2">
      <t>ゴウケイ</t>
    </rPh>
    <rPh sb="2" eb="3">
      <t>キン</t>
    </rPh>
    <rPh sb="3" eb="4">
      <t>ガク</t>
    </rPh>
    <rPh sb="7" eb="9">
      <t>カクニン</t>
    </rPh>
    <rPh sb="12" eb="14">
      <t>フリコ</t>
    </rPh>
    <rPh sb="15" eb="16">
      <t>クダ</t>
    </rPh>
    <phoneticPr fontId="3"/>
  </si>
  <si>
    <t>ｾﾙﾎﾞ
年齢</t>
    <rPh sb="5" eb="7">
      <t>ネンレイ</t>
    </rPh>
    <phoneticPr fontId="4"/>
  </si>
  <si>
    <t>OK</t>
    <phoneticPr fontId="4"/>
  </si>
  <si>
    <t>1・2＆3・4</t>
    <phoneticPr fontId="4"/>
  </si>
  <si>
    <t>3・4・5・6</t>
    <phoneticPr fontId="4"/>
  </si>
  <si>
    <t>ペア組み合わせ</t>
    <rPh sb="2" eb="3">
      <t>ク</t>
    </rPh>
    <rPh sb="4" eb="5">
      <t>ア</t>
    </rPh>
    <phoneticPr fontId="4"/>
  </si>
  <si>
    <t>ソロストラット</t>
    <phoneticPr fontId="6"/>
  </si>
  <si>
    <t>ダンストワール</t>
  </si>
  <si>
    <t>ダンストワール</t>
    <phoneticPr fontId="6"/>
  </si>
  <si>
    <t>入力シート選手権セルボ用年齢　CY列</t>
    <rPh sb="0" eb="2">
      <t>ニュウリョク</t>
    </rPh>
    <rPh sb="5" eb="8">
      <t>センシュケン</t>
    </rPh>
    <rPh sb="11" eb="12">
      <t>ヨウ</t>
    </rPh>
    <rPh sb="12" eb="14">
      <t>ネンレイ</t>
    </rPh>
    <rPh sb="17" eb="18">
      <t>レツ</t>
    </rPh>
    <phoneticPr fontId="4"/>
  </si>
  <si>
    <t>バトン入門</t>
    <rPh sb="3" eb="5">
      <t>ニュウモン</t>
    </rPh>
    <phoneticPr fontId="3"/>
  </si>
  <si>
    <t>バトン初級</t>
    <rPh sb="3" eb="5">
      <t>ショキュウ</t>
    </rPh>
    <phoneticPr fontId="3"/>
  </si>
  <si>
    <t>バトン中級</t>
    <rPh sb="3" eb="5">
      <t>チュウキュウ</t>
    </rPh>
    <phoneticPr fontId="3"/>
  </si>
  <si>
    <t>バトン上級</t>
    <rPh sb="3" eb="5">
      <t>ジョウキュウ</t>
    </rPh>
    <phoneticPr fontId="3"/>
  </si>
  <si>
    <t>ソロストラット</t>
    <phoneticPr fontId="3"/>
  </si>
  <si>
    <t>ダンストワール</t>
    <phoneticPr fontId="3"/>
  </si>
  <si>
    <t>会員番号</t>
    <rPh sb="0" eb="2">
      <t>カイイン</t>
    </rPh>
    <rPh sb="2" eb="4">
      <t>バンゴウ</t>
    </rPh>
    <phoneticPr fontId="45"/>
  </si>
  <si>
    <t>氏名</t>
    <rPh sb="0" eb="2">
      <t>シメイ</t>
    </rPh>
    <phoneticPr fontId="3"/>
  </si>
  <si>
    <t>複合出場</t>
    <rPh sb="0" eb="2">
      <t>フクゴウ</t>
    </rPh>
    <rPh sb="2" eb="4">
      <t>シュツジョウ</t>
    </rPh>
    <phoneticPr fontId="3"/>
  </si>
  <si>
    <t>所属団体名/出場先団体名</t>
    <rPh sb="0" eb="2">
      <t>ショゾク</t>
    </rPh>
    <rPh sb="2" eb="4">
      <t>ダンタイ</t>
    </rPh>
    <rPh sb="4" eb="5">
      <t>メイ</t>
    </rPh>
    <rPh sb="6" eb="8">
      <t>シュツジョウ</t>
    </rPh>
    <rPh sb="8" eb="9">
      <t>サキ</t>
    </rPh>
    <rPh sb="9" eb="11">
      <t>ダンタイ</t>
    </rPh>
    <rPh sb="11" eb="12">
      <t>メイ</t>
    </rPh>
    <phoneticPr fontId="45"/>
  </si>
  <si>
    <t>関東6種目</t>
  </si>
  <si>
    <t>他団体から複合出場</t>
  </si>
  <si>
    <t>所属団体名</t>
    <rPh sb="0" eb="2">
      <t>ショゾク</t>
    </rPh>
    <rPh sb="2" eb="4">
      <t>ダンタイ</t>
    </rPh>
    <rPh sb="4" eb="5">
      <t>メイ</t>
    </rPh>
    <phoneticPr fontId="45"/>
  </si>
  <si>
    <t>S-N-06</t>
    <phoneticPr fontId="4"/>
  </si>
  <si>
    <t>S-N-09</t>
    <phoneticPr fontId="4"/>
  </si>
  <si>
    <t>S-I-06</t>
  </si>
  <si>
    <t>S-I-09</t>
  </si>
  <si>
    <t>S-A-06</t>
  </si>
  <si>
    <t>S-B-09</t>
    <phoneticPr fontId="3"/>
  </si>
  <si>
    <t>S-B-06</t>
    <phoneticPr fontId="3"/>
  </si>
  <si>
    <t>S-A-09</t>
  </si>
  <si>
    <t>2B-B-09</t>
  </si>
  <si>
    <t>2B-I-09</t>
  </si>
  <si>
    <t>2B-A-09</t>
  </si>
  <si>
    <t>3B-B-09</t>
  </si>
  <si>
    <t>3B-A-09</t>
  </si>
  <si>
    <t>SS-B-09</t>
  </si>
  <si>
    <t>SS-I-09</t>
  </si>
  <si>
    <t>SS-A-09</t>
  </si>
  <si>
    <t>D-B-09</t>
  </si>
  <si>
    <t>D-I-09</t>
    <phoneticPr fontId="3"/>
  </si>
  <si>
    <t>D-A-09</t>
    <phoneticPr fontId="3"/>
  </si>
  <si>
    <t>S-N-06</t>
    <phoneticPr fontId="6"/>
  </si>
  <si>
    <t>S-N-09</t>
    <phoneticPr fontId="6"/>
  </si>
  <si>
    <t>S-B-06</t>
    <phoneticPr fontId="6"/>
  </si>
  <si>
    <t>S-B-09</t>
    <phoneticPr fontId="6"/>
  </si>
  <si>
    <t>2B-B-09</t>
    <phoneticPr fontId="6"/>
  </si>
  <si>
    <t>3B-B-09</t>
    <phoneticPr fontId="6"/>
  </si>
  <si>
    <t>SS-B-09</t>
    <phoneticPr fontId="6"/>
  </si>
  <si>
    <t>D-B-09</t>
    <phoneticPr fontId="6"/>
  </si>
  <si>
    <t>S-I-06</t>
    <phoneticPr fontId="6"/>
  </si>
  <si>
    <t>S-I-09</t>
    <phoneticPr fontId="6"/>
  </si>
  <si>
    <t>2B-I-09</t>
    <phoneticPr fontId="6"/>
  </si>
  <si>
    <t>SS-I-09</t>
    <phoneticPr fontId="6"/>
  </si>
  <si>
    <t>D-I-09</t>
    <phoneticPr fontId="6"/>
  </si>
  <si>
    <t>S-A-06</t>
    <phoneticPr fontId="6"/>
  </si>
  <si>
    <t>S-A-09</t>
    <phoneticPr fontId="6"/>
  </si>
  <si>
    <t>2B-A-09</t>
    <phoneticPr fontId="6"/>
  </si>
  <si>
    <t>3B-A-09</t>
    <phoneticPr fontId="6"/>
  </si>
  <si>
    <t>SS-A-09</t>
    <phoneticPr fontId="6"/>
  </si>
  <si>
    <t>D-A-09</t>
    <phoneticPr fontId="6"/>
  </si>
  <si>
    <t>SrⅡ</t>
  </si>
  <si>
    <t>※他団体所属の選手が出場する場合・出場選手が他団体へも出場する場合は、下に記載すること。
　 また、学校団体・一般団体どちらにも出場の場合も記載すること。</t>
    <rPh sb="1" eb="2">
      <t>タ</t>
    </rPh>
    <rPh sb="2" eb="4">
      <t>ダンタイ</t>
    </rPh>
    <rPh sb="4" eb="6">
      <t>ショゾク</t>
    </rPh>
    <rPh sb="7" eb="9">
      <t>センシュ</t>
    </rPh>
    <rPh sb="10" eb="12">
      <t>シュツジョウ</t>
    </rPh>
    <rPh sb="14" eb="16">
      <t>バアイ</t>
    </rPh>
    <rPh sb="17" eb="19">
      <t>シュツジョウ</t>
    </rPh>
    <rPh sb="19" eb="21">
      <t>センシュ</t>
    </rPh>
    <rPh sb="22" eb="23">
      <t>タ</t>
    </rPh>
    <rPh sb="23" eb="25">
      <t>ダンタイ</t>
    </rPh>
    <rPh sb="27" eb="29">
      <t>シュツジョウ</t>
    </rPh>
    <rPh sb="31" eb="33">
      <t>バアイ</t>
    </rPh>
    <rPh sb="35" eb="36">
      <t>シタ</t>
    </rPh>
    <rPh sb="37" eb="39">
      <t>キサイ</t>
    </rPh>
    <rPh sb="50" eb="52">
      <t>ガッコウ</t>
    </rPh>
    <rPh sb="52" eb="54">
      <t>ダンタイ</t>
    </rPh>
    <rPh sb="55" eb="57">
      <t>イッパン</t>
    </rPh>
    <rPh sb="57" eb="59">
      <t>ダンタイ</t>
    </rPh>
    <rPh sb="64" eb="66">
      <t>シュツジョウ</t>
    </rPh>
    <rPh sb="67" eb="69">
      <t>バアイ</t>
    </rPh>
    <rPh sb="70" eb="72">
      <t>キサイ</t>
    </rPh>
    <phoneticPr fontId="45"/>
  </si>
  <si>
    <t>団体ID</t>
    <rPh sb="0" eb="2">
      <t>ダンタイ</t>
    </rPh>
    <phoneticPr fontId="3"/>
  </si>
  <si>
    <t>セット番号等
連絡ｍａｉｌアドレス</t>
    <rPh sb="3" eb="5">
      <t>バンゴウ</t>
    </rPh>
    <rPh sb="5" eb="6">
      <t>トウ</t>
    </rPh>
    <rPh sb="7" eb="9">
      <t>レンラク</t>
    </rPh>
    <phoneticPr fontId="3"/>
  </si>
  <si>
    <r>
      <t xml:space="preserve">シクミネット情報提出
</t>
    </r>
    <r>
      <rPr>
        <b/>
        <sz val="11"/>
        <color theme="1"/>
        <rFont val="ＭＳ Ｐゴシック"/>
        <family val="3"/>
        <charset val="128"/>
        <scheme val="minor"/>
      </rPr>
      <t>(会費支払い後)</t>
    </r>
    <rPh sb="6" eb="8">
      <t>ジョウホウ</t>
    </rPh>
    <rPh sb="8" eb="10">
      <t>テイシュツ</t>
    </rPh>
    <rPh sb="12" eb="14">
      <t>カイヒ</t>
    </rPh>
    <rPh sb="14" eb="16">
      <t>シハラ</t>
    </rPh>
    <rPh sb="17" eb="18">
      <t>ゴ</t>
    </rPh>
    <phoneticPr fontId="3"/>
  </si>
  <si>
    <r>
      <t xml:space="preserve">団体情報
</t>
    </r>
    <r>
      <rPr>
        <b/>
        <sz val="11"/>
        <color theme="1"/>
        <rFont val="ＭＳ Ｐゴシック"/>
        <family val="3"/>
        <charset val="128"/>
        <scheme val="minor"/>
      </rPr>
      <t>（住所記載ページ）</t>
    </r>
    <rPh sb="0" eb="2">
      <t>ダンタイ</t>
    </rPh>
    <rPh sb="2" eb="4">
      <t>ジョウホウ</t>
    </rPh>
    <rPh sb="6" eb="8">
      <t>ジュウショ</t>
    </rPh>
    <rPh sb="8" eb="10">
      <t>キサイ</t>
    </rPh>
    <phoneticPr fontId="3"/>
  </si>
  <si>
    <t>団体所属会員一覧</t>
    <rPh sb="0" eb="2">
      <t>ダンタイ</t>
    </rPh>
    <rPh sb="2" eb="4">
      <t>ショゾク</t>
    </rPh>
    <rPh sb="4" eb="6">
      <t>カイイン</t>
    </rPh>
    <rPh sb="6" eb="8">
      <t>イチラン</t>
    </rPh>
    <phoneticPr fontId="3"/>
  </si>
  <si>
    <t>映像二次使用について</t>
    <rPh sb="0" eb="2">
      <t>エイゾウ</t>
    </rPh>
    <rPh sb="2" eb="4">
      <t>ニジ</t>
    </rPh>
    <rPh sb="4" eb="6">
      <t>シヨウ</t>
    </rPh>
    <phoneticPr fontId="3"/>
  </si>
  <si>
    <t>バッジ・リボン送付先
※必須</t>
    <rPh sb="7" eb="10">
      <t>ソウフサキ</t>
    </rPh>
    <rPh sb="12" eb="14">
      <t>ヒッス</t>
    </rPh>
    <phoneticPr fontId="3"/>
  </si>
  <si>
    <t>送付者名</t>
    <rPh sb="0" eb="2">
      <t>ソウフ</t>
    </rPh>
    <rPh sb="2" eb="3">
      <t>シャ</t>
    </rPh>
    <rPh sb="3" eb="4">
      <t>メイ</t>
    </rPh>
    <phoneticPr fontId="3"/>
  </si>
  <si>
    <t>〒</t>
    <phoneticPr fontId="3"/>
  </si>
  <si>
    <t>住所</t>
    <rPh sb="0" eb="2">
      <t>ジュウショ</t>
    </rPh>
    <phoneticPr fontId="3"/>
  </si>
  <si>
    <t>ペア複合出場 / 学校団体・一般団体両団体出場選手　記入欄</t>
    <rPh sb="2" eb="4">
      <t>フクゴウ</t>
    </rPh>
    <rPh sb="4" eb="6">
      <t>シュツジョウ</t>
    </rPh>
    <rPh sb="9" eb="11">
      <t>ガッコウ</t>
    </rPh>
    <rPh sb="11" eb="13">
      <t>ダンタイ</t>
    </rPh>
    <rPh sb="14" eb="16">
      <t>イッパン</t>
    </rPh>
    <rPh sb="16" eb="18">
      <t>ダンタイ</t>
    </rPh>
    <rPh sb="18" eb="21">
      <t>リョウダンタイ</t>
    </rPh>
    <rPh sb="21" eb="23">
      <t>シュツジョウ</t>
    </rPh>
    <rPh sb="23" eb="25">
      <t>センシュ</t>
    </rPh>
    <rPh sb="26" eb="28">
      <t>キニュウ</t>
    </rPh>
    <rPh sb="28" eb="29">
      <t>ラン</t>
    </rPh>
    <phoneticPr fontId="3"/>
  </si>
  <si>
    <t>例 00000</t>
    <rPh sb="0" eb="1">
      <t>レイ</t>
    </rPh>
    <phoneticPr fontId="3"/>
  </si>
  <si>
    <t>関東　花子</t>
    <rPh sb="0" eb="2">
      <t>カントウ</t>
    </rPh>
    <rPh sb="3" eb="5">
      <t>ハナコ</t>
    </rPh>
    <phoneticPr fontId="3"/>
  </si>
  <si>
    <t>ペア初級</t>
    <rPh sb="2" eb="4">
      <t>ショキュウ</t>
    </rPh>
    <phoneticPr fontId="3"/>
  </si>
  <si>
    <t>U-12</t>
    <phoneticPr fontId="3"/>
  </si>
  <si>
    <t>～入力の仕方～</t>
    <rPh sb="1" eb="3">
      <t>ニュウリョク</t>
    </rPh>
    <rPh sb="4" eb="6">
      <t>シカタ</t>
    </rPh>
    <phoneticPr fontId="3"/>
  </si>
  <si>
    <t>★</t>
    <phoneticPr fontId="3"/>
  </si>
  <si>
    <t>申し込み選手の情報は、入力シートの該当種目に入力してください。</t>
    <rPh sb="0" eb="1">
      <t>モウ</t>
    </rPh>
    <rPh sb="2" eb="3">
      <t>コ</t>
    </rPh>
    <rPh sb="4" eb="6">
      <t>センシュ</t>
    </rPh>
    <rPh sb="7" eb="9">
      <t>ジョウホウ</t>
    </rPh>
    <rPh sb="11" eb="13">
      <t>ニュウリョク</t>
    </rPh>
    <rPh sb="17" eb="19">
      <t>ガイトウ</t>
    </rPh>
    <rPh sb="19" eb="21">
      <t>シュモク</t>
    </rPh>
    <rPh sb="22" eb="24">
      <t>ニュウリョク</t>
    </rPh>
    <phoneticPr fontId="3"/>
  </si>
  <si>
    <t>入力シートに入力したもののみが、エントリー別人数表に反映されるため、漏れの無いよう注意してください。</t>
    <rPh sb="0" eb="2">
      <t>ニュウリョク</t>
    </rPh>
    <rPh sb="6" eb="8">
      <t>ニュウリョク</t>
    </rPh>
    <rPh sb="21" eb="25">
      <t>ベツニンズウヒョウ</t>
    </rPh>
    <rPh sb="26" eb="28">
      <t>ハンエイ</t>
    </rPh>
    <rPh sb="34" eb="35">
      <t>モ</t>
    </rPh>
    <rPh sb="37" eb="38">
      <t>ナ</t>
    </rPh>
    <rPh sb="41" eb="43">
      <t>チュウイ</t>
    </rPh>
    <phoneticPr fontId="3"/>
  </si>
  <si>
    <t>①</t>
    <phoneticPr fontId="3"/>
  </si>
  <si>
    <t>②</t>
    <phoneticPr fontId="3"/>
  </si>
  <si>
    <t>入力シートに、申込み情報を入力してください。</t>
    <rPh sb="0" eb="2">
      <t>ニュウリョク</t>
    </rPh>
    <rPh sb="7" eb="9">
      <t>モウシコミ</t>
    </rPh>
    <rPh sb="10" eb="12">
      <t>ジョウホウ</t>
    </rPh>
    <rPh sb="13" eb="15">
      <t>ニュウリョク</t>
    </rPh>
    <phoneticPr fontId="3"/>
  </si>
  <si>
    <t>③</t>
    <phoneticPr fontId="3"/>
  </si>
  <si>
    <t>氏名・ふりがな・生年月日を入力してください。</t>
    <rPh sb="0" eb="2">
      <t>シメイ</t>
    </rPh>
    <rPh sb="8" eb="10">
      <t>セイネン</t>
    </rPh>
    <rPh sb="10" eb="12">
      <t>ガッピ</t>
    </rPh>
    <rPh sb="13" eb="15">
      <t>ニュウリョク</t>
    </rPh>
    <phoneticPr fontId="3"/>
  </si>
  <si>
    <t>・会員申請中の場合は、会員番号欄に「申請中」と入力してください。</t>
    <rPh sb="1" eb="3">
      <t>カイイン</t>
    </rPh>
    <rPh sb="3" eb="6">
      <t>シンセイチュウ</t>
    </rPh>
    <rPh sb="7" eb="9">
      <t>バアイ</t>
    </rPh>
    <rPh sb="11" eb="13">
      <t>カイイン</t>
    </rPh>
    <rPh sb="13" eb="15">
      <t>バンゴウ</t>
    </rPh>
    <rPh sb="15" eb="16">
      <t>ラン</t>
    </rPh>
    <rPh sb="18" eb="21">
      <t>シンセイチュウ</t>
    </rPh>
    <rPh sb="23" eb="25">
      <t>ニュウリョク</t>
    </rPh>
    <phoneticPr fontId="3"/>
  </si>
  <si>
    <t xml:space="preserve">・ふりがなは、《ひらがな》で記入し苗字と名前の間にスペースをあけて入力してください。			</t>
    <rPh sb="33" eb="35">
      <t>ニュウリョク</t>
    </rPh>
    <phoneticPr fontId="3"/>
  </si>
  <si>
    <t>・生年月日は半角で「例：1900/1/1」の様に入力してください。自動で「1900年1月1日」と表示されます。</t>
    <rPh sb="1" eb="3">
      <t>セイネン</t>
    </rPh>
    <rPh sb="3" eb="5">
      <t>ガッピ</t>
    </rPh>
    <rPh sb="6" eb="8">
      <t>ハンカク</t>
    </rPh>
    <rPh sb="10" eb="11">
      <t>レイ</t>
    </rPh>
    <rPh sb="22" eb="23">
      <t>ヨウ</t>
    </rPh>
    <rPh sb="24" eb="26">
      <t>ニュウリョク</t>
    </rPh>
    <rPh sb="33" eb="35">
      <t>ジドウ</t>
    </rPh>
    <rPh sb="41" eb="42">
      <t>ネン</t>
    </rPh>
    <rPh sb="43" eb="44">
      <t>ガツ</t>
    </rPh>
    <rPh sb="45" eb="46">
      <t>ニチ</t>
    </rPh>
    <rPh sb="48" eb="50">
      <t>ヒョウジ</t>
    </rPh>
    <phoneticPr fontId="3"/>
  </si>
  <si>
    <t>④</t>
    <phoneticPr fontId="3"/>
  </si>
  <si>
    <t>申し込む種目を▼から選んでください。</t>
    <rPh sb="0" eb="1">
      <t>モウ</t>
    </rPh>
    <rPh sb="2" eb="3">
      <t>コ</t>
    </rPh>
    <rPh sb="4" eb="6">
      <t>シュモク</t>
    </rPh>
    <rPh sb="10" eb="11">
      <t>エラ</t>
    </rPh>
    <phoneticPr fontId="3"/>
  </si>
  <si>
    <r>
      <t>・ペアに申込みがある選手は、選択欄の右に半角数字で以下のように</t>
    </r>
    <r>
      <rPr>
        <sz val="11"/>
        <rFont val="ＭＳ Ｐゴシック"/>
        <family val="3"/>
        <charset val="128"/>
      </rPr>
      <t>番号を入れてください。</t>
    </r>
    <rPh sb="4" eb="6">
      <t>モウシコミ</t>
    </rPh>
    <rPh sb="10" eb="12">
      <t>センシュ</t>
    </rPh>
    <rPh sb="14" eb="16">
      <t>センタク</t>
    </rPh>
    <rPh sb="16" eb="17">
      <t>ラン</t>
    </rPh>
    <rPh sb="18" eb="19">
      <t>ミギ</t>
    </rPh>
    <rPh sb="20" eb="22">
      <t>ハンカク</t>
    </rPh>
    <rPh sb="22" eb="24">
      <t>スウジ</t>
    </rPh>
    <rPh sb="25" eb="27">
      <t>イカ</t>
    </rPh>
    <rPh sb="31" eb="33">
      <t>バンゴウ</t>
    </rPh>
    <rPh sb="34" eb="35">
      <t>イ</t>
    </rPh>
    <phoneticPr fontId="3"/>
  </si>
  <si>
    <t>　ペア１組目の１人目を1-1、２人目は1-2と入力して下さい。２組目の１人目は2-1、２人目は2-2とする。</t>
    <rPh sb="4" eb="5">
      <t>クミ</t>
    </rPh>
    <rPh sb="5" eb="6">
      <t>メ</t>
    </rPh>
    <rPh sb="32" eb="33">
      <t>クミ</t>
    </rPh>
    <rPh sb="33" eb="34">
      <t>メ</t>
    </rPh>
    <rPh sb="36" eb="37">
      <t>ニン</t>
    </rPh>
    <rPh sb="37" eb="38">
      <t>メ</t>
    </rPh>
    <rPh sb="44" eb="45">
      <t>ニン</t>
    </rPh>
    <rPh sb="45" eb="46">
      <t>メ</t>
    </rPh>
    <phoneticPr fontId="3"/>
  </si>
  <si>
    <t>　関東６種目は全グレードを通しての番号をつけてください。</t>
    <rPh sb="1" eb="3">
      <t>カントウ</t>
    </rPh>
    <rPh sb="4" eb="6">
      <t>シュモク</t>
    </rPh>
    <rPh sb="7" eb="8">
      <t>ゼン</t>
    </rPh>
    <rPh sb="13" eb="14">
      <t>トオ</t>
    </rPh>
    <rPh sb="17" eb="19">
      <t>バンゴウ</t>
    </rPh>
    <phoneticPr fontId="3"/>
  </si>
  <si>
    <t>⑤</t>
    <phoneticPr fontId="3"/>
  </si>
  <si>
    <t>・ふりがな・生年月日は空欄のままにしてください。</t>
    <rPh sb="6" eb="8">
      <t>セイネン</t>
    </rPh>
    <rPh sb="8" eb="10">
      <t>ガッピ</t>
    </rPh>
    <rPh sb="11" eb="13">
      <t>クウラン</t>
    </rPh>
    <phoneticPr fontId="3"/>
  </si>
  <si>
    <t>セルの入力を消すときは、「ＤＥＬETE」か「ＢＡＣＫ　ＳＰＡＣＥ」を押してください。</t>
    <rPh sb="3" eb="5">
      <t>ニュウリョク</t>
    </rPh>
    <rPh sb="6" eb="7">
      <t>ケ</t>
    </rPh>
    <rPh sb="34" eb="35">
      <t>オ</t>
    </rPh>
    <phoneticPr fontId="3"/>
  </si>
  <si>
    <t>保存時に、ファイル名に団体名を追加し、選択肢が出てきたものは、『続行』・『はい』を選択してください。</t>
    <rPh sb="0" eb="2">
      <t>ホゾン</t>
    </rPh>
    <rPh sb="2" eb="3">
      <t>ジ</t>
    </rPh>
    <rPh sb="9" eb="10">
      <t>メイ</t>
    </rPh>
    <rPh sb="11" eb="13">
      <t>ダンタイ</t>
    </rPh>
    <rPh sb="13" eb="14">
      <t>メイ</t>
    </rPh>
    <rPh sb="15" eb="17">
      <t>ツイカ</t>
    </rPh>
    <rPh sb="19" eb="22">
      <t>センタクシ</t>
    </rPh>
    <rPh sb="23" eb="24">
      <t>デ</t>
    </rPh>
    <rPh sb="32" eb="34">
      <t>ゾッコウ</t>
    </rPh>
    <rPh sb="41" eb="43">
      <t>センタク</t>
    </rPh>
    <phoneticPr fontId="3"/>
  </si>
  <si>
    <t>エントリー別人数表＆参加費申込書を必ず確認して、参加費をお支払いください。</t>
    <rPh sb="5" eb="6">
      <t>ベツ</t>
    </rPh>
    <rPh sb="6" eb="8">
      <t>ニンズウ</t>
    </rPh>
    <rPh sb="8" eb="9">
      <t>ヒョウ</t>
    </rPh>
    <rPh sb="10" eb="12">
      <t>サンカ</t>
    </rPh>
    <rPh sb="12" eb="13">
      <t>ヒ</t>
    </rPh>
    <rPh sb="13" eb="16">
      <t>モウシコミショ</t>
    </rPh>
    <rPh sb="17" eb="18">
      <t>カナラ</t>
    </rPh>
    <rPh sb="19" eb="21">
      <t>カクニン</t>
    </rPh>
    <rPh sb="24" eb="27">
      <t>サンカヒ</t>
    </rPh>
    <rPh sb="29" eb="31">
      <t>シハラ</t>
    </rPh>
    <phoneticPr fontId="3"/>
  </si>
  <si>
    <t>入力欄が足りない場合は、シートやセルを足したりせずに、新しい申込書に入力してください。</t>
    <rPh sb="0" eb="2">
      <t>ニュウリョク</t>
    </rPh>
    <rPh sb="2" eb="3">
      <t>ラン</t>
    </rPh>
    <rPh sb="4" eb="5">
      <t>タ</t>
    </rPh>
    <rPh sb="8" eb="10">
      <t>バアイ</t>
    </rPh>
    <rPh sb="19" eb="20">
      <t>タ</t>
    </rPh>
    <rPh sb="27" eb="28">
      <t>アタラ</t>
    </rPh>
    <rPh sb="30" eb="33">
      <t>モウシコミショ</t>
    </rPh>
    <rPh sb="34" eb="36">
      <t>ニュウリョク</t>
    </rPh>
    <phoneticPr fontId="3"/>
  </si>
  <si>
    <t>申込書の受付連絡はいたしませんので、受付確認をしたい方は、メールの開封確認を設定するなどしてください。</t>
    <rPh sb="0" eb="2">
      <t>モウシコミ</t>
    </rPh>
    <rPh sb="2" eb="3">
      <t>ショ</t>
    </rPh>
    <rPh sb="4" eb="6">
      <t>ウケツケ</t>
    </rPh>
    <rPh sb="6" eb="8">
      <t>レンラク</t>
    </rPh>
    <rPh sb="18" eb="20">
      <t>ウケツケ</t>
    </rPh>
    <rPh sb="20" eb="22">
      <t>カクニン</t>
    </rPh>
    <rPh sb="26" eb="27">
      <t>カタ</t>
    </rPh>
    <rPh sb="33" eb="35">
      <t>カイフウ</t>
    </rPh>
    <rPh sb="35" eb="37">
      <t>カクニン</t>
    </rPh>
    <rPh sb="38" eb="40">
      <t>セッテイ</t>
    </rPh>
    <phoneticPr fontId="3"/>
  </si>
  <si>
    <t>◎</t>
    <phoneticPr fontId="3"/>
  </si>
  <si>
    <t>質問は、メールにてお願いいたします。（大会事務局アドレス等は実施要項に記載されています）</t>
    <rPh sb="0" eb="2">
      <t>シツモン</t>
    </rPh>
    <rPh sb="10" eb="11">
      <t>ネガ</t>
    </rPh>
    <rPh sb="19" eb="21">
      <t>タイカイ</t>
    </rPh>
    <rPh sb="21" eb="24">
      <t>ジムキョク</t>
    </rPh>
    <rPh sb="28" eb="29">
      <t>トウ</t>
    </rPh>
    <rPh sb="30" eb="32">
      <t>ジッシ</t>
    </rPh>
    <rPh sb="32" eb="34">
      <t>ヨウコウ</t>
    </rPh>
    <rPh sb="35" eb="37">
      <t>キサイ</t>
    </rPh>
    <phoneticPr fontId="3"/>
  </si>
  <si>
    <t>団体情報欄に入力されたアドレスへセット番号表等の一次発信・二次発信の連絡メールを配信します。</t>
    <rPh sb="0" eb="2">
      <t>ダンタイ</t>
    </rPh>
    <rPh sb="2" eb="4">
      <t>ジョウホウ</t>
    </rPh>
    <rPh sb="4" eb="5">
      <t>ラン</t>
    </rPh>
    <rPh sb="6" eb="8">
      <t>ニュウリョク</t>
    </rPh>
    <rPh sb="19" eb="21">
      <t>バンゴウ</t>
    </rPh>
    <rPh sb="21" eb="22">
      <t>ヒョウ</t>
    </rPh>
    <rPh sb="22" eb="23">
      <t>トウ</t>
    </rPh>
    <rPh sb="24" eb="26">
      <t>イチジ</t>
    </rPh>
    <rPh sb="26" eb="28">
      <t>ハッシン</t>
    </rPh>
    <rPh sb="29" eb="31">
      <t>ニジ</t>
    </rPh>
    <rPh sb="31" eb="33">
      <t>ハッシン</t>
    </rPh>
    <rPh sb="34" eb="36">
      <t>レンラク</t>
    </rPh>
    <rPh sb="40" eb="42">
      <t>ハイシン</t>
    </rPh>
    <phoneticPr fontId="3"/>
  </si>
  <si>
    <t>〆切に関しては送信の時にお知らせいたします。</t>
    <phoneticPr fontId="3"/>
  </si>
  <si>
    <t>以上宜しくお願い致します。</t>
    <phoneticPr fontId="3"/>
  </si>
  <si>
    <t>未就学</t>
    <rPh sb="0" eb="3">
      <t>ミシュウガク</t>
    </rPh>
    <phoneticPr fontId="3"/>
  </si>
  <si>
    <t>未就学</t>
    <rPh sb="0" eb="3">
      <t>ミシュウガク</t>
    </rPh>
    <phoneticPr fontId="4"/>
  </si>
  <si>
    <t>規定演技</t>
    <rPh sb="0" eb="2">
      <t>キテイ</t>
    </rPh>
    <rPh sb="2" eb="4">
      <t>エンギ</t>
    </rPh>
    <phoneticPr fontId="6"/>
  </si>
  <si>
    <t>○を選択</t>
    <phoneticPr fontId="52"/>
  </si>
  <si>
    <t>バトン</t>
    <phoneticPr fontId="3"/>
  </si>
  <si>
    <t>ポンポン</t>
    <phoneticPr fontId="3"/>
  </si>
  <si>
    <t>キンダ―
部門</t>
    <rPh sb="5" eb="7">
      <t>ブモン</t>
    </rPh>
    <phoneticPr fontId="3"/>
  </si>
  <si>
    <t>ソロトワール</t>
    <phoneticPr fontId="3"/>
  </si>
  <si>
    <t>トゥーバトン</t>
    <phoneticPr fontId="3"/>
  </si>
  <si>
    <t>スリーバトン</t>
    <phoneticPr fontId="3"/>
  </si>
  <si>
    <t>ソロストラット</t>
    <phoneticPr fontId="3"/>
  </si>
  <si>
    <t>ダンストワール</t>
    <phoneticPr fontId="3"/>
  </si>
  <si>
    <t>ソロトワール未就学</t>
    <rPh sb="6" eb="9">
      <t>ミシュウガク</t>
    </rPh>
    <phoneticPr fontId="52"/>
  </si>
  <si>
    <t>部門</t>
    <rPh sb="0" eb="2">
      <t>ブモン</t>
    </rPh>
    <phoneticPr fontId="3"/>
  </si>
  <si>
    <t>トゥーバトン</t>
    <phoneticPr fontId="3"/>
  </si>
  <si>
    <t>スリーバトン</t>
    <phoneticPr fontId="3"/>
  </si>
  <si>
    <t>ペア</t>
    <phoneticPr fontId="3"/>
  </si>
  <si>
    <t>アーティスティック
トワール</t>
    <phoneticPr fontId="3"/>
  </si>
  <si>
    <t>アーティスティック
ペア</t>
    <phoneticPr fontId="3"/>
  </si>
  <si>
    <t>初級</t>
    <rPh sb="0" eb="2">
      <t>ショキュウ</t>
    </rPh>
    <phoneticPr fontId="52"/>
  </si>
  <si>
    <t>1-1</t>
    <phoneticPr fontId="3"/>
  </si>
  <si>
    <t>○</t>
    <phoneticPr fontId="3"/>
  </si>
  <si>
    <t>オープン</t>
    <phoneticPr fontId="3"/>
  </si>
  <si>
    <t>中級</t>
    <rPh sb="0" eb="2">
      <t>チュウキュウ</t>
    </rPh>
    <phoneticPr fontId="52"/>
  </si>
  <si>
    <t>○</t>
    <phoneticPr fontId="52"/>
  </si>
  <si>
    <t>1-2</t>
    <phoneticPr fontId="3"/>
  </si>
  <si>
    <t>○</t>
    <phoneticPr fontId="4"/>
  </si>
  <si>
    <t>OP</t>
    <phoneticPr fontId="6"/>
  </si>
  <si>
    <t>ソロトワール 未就学</t>
    <rPh sb="7" eb="8">
      <t>ミ</t>
    </rPh>
    <rPh sb="8" eb="10">
      <t>シュウガク</t>
    </rPh>
    <phoneticPr fontId="3"/>
  </si>
  <si>
    <t>会員番号</t>
    <rPh sb="0" eb="2">
      <t>カイイン</t>
    </rPh>
    <rPh sb="2" eb="4">
      <t>バンゴウ</t>
    </rPh>
    <phoneticPr fontId="3"/>
  </si>
  <si>
    <t>000△△△△</t>
    <phoneticPr fontId="3"/>
  </si>
  <si>
    <t>ソロトワール</t>
    <phoneticPr fontId="4"/>
  </si>
  <si>
    <t>ソロトワール  未就学</t>
    <rPh sb="8" eb="11">
      <t>ミシュウガク</t>
    </rPh>
    <phoneticPr fontId="3"/>
  </si>
  <si>
    <t>参加申込に関するすべての書類は、本大会の運営以外で使用することはありません。コンテスト終了後は直ちに破棄させていただきます。</t>
    <rPh sb="0" eb="2">
      <t>サンカ</t>
    </rPh>
    <rPh sb="2" eb="4">
      <t>モウシコミ</t>
    </rPh>
    <rPh sb="5" eb="6">
      <t>カン</t>
    </rPh>
    <rPh sb="12" eb="14">
      <t>ショルイ</t>
    </rPh>
    <rPh sb="16" eb="17">
      <t>ホン</t>
    </rPh>
    <rPh sb="17" eb="19">
      <t>タイカイ</t>
    </rPh>
    <rPh sb="20" eb="22">
      <t>ウンエイ</t>
    </rPh>
    <rPh sb="22" eb="24">
      <t>イガイ</t>
    </rPh>
    <rPh sb="25" eb="27">
      <t>シヨウ</t>
    </rPh>
    <rPh sb="43" eb="46">
      <t>シュウリョウゴ</t>
    </rPh>
    <rPh sb="47" eb="48">
      <t>タダ</t>
    </rPh>
    <rPh sb="50" eb="52">
      <t>ハキ</t>
    </rPh>
    <phoneticPr fontId="3"/>
  </si>
  <si>
    <t>総合計額①+②+③</t>
    <rPh sb="0" eb="1">
      <t>ソウ</t>
    </rPh>
    <rPh sb="1" eb="3">
      <t>ゴウケイ</t>
    </rPh>
    <rPh sb="3" eb="4">
      <t>ガク</t>
    </rPh>
    <phoneticPr fontId="3"/>
  </si>
  <si>
    <t>ジュニア</t>
    <phoneticPr fontId="4"/>
  </si>
  <si>
    <t>シニア</t>
    <phoneticPr fontId="4"/>
  </si>
  <si>
    <t>自由演技</t>
    <rPh sb="0" eb="2">
      <t>ジユウ</t>
    </rPh>
    <rPh sb="2" eb="4">
      <t>エンギ</t>
    </rPh>
    <phoneticPr fontId="4"/>
  </si>
  <si>
    <t>個人</t>
    <rPh sb="0" eb="2">
      <t>コジン</t>
    </rPh>
    <phoneticPr fontId="4"/>
  </si>
  <si>
    <t>団体</t>
    <rPh sb="0" eb="2">
      <t>ダンタイ</t>
    </rPh>
    <phoneticPr fontId="4"/>
  </si>
  <si>
    <t>自由演技</t>
    <rPh sb="0" eb="2">
      <t>ジユウ</t>
    </rPh>
    <rPh sb="2" eb="4">
      <t>エンギ</t>
    </rPh>
    <phoneticPr fontId="3"/>
  </si>
  <si>
    <t>個人</t>
    <rPh sb="0" eb="2">
      <t>コジン</t>
    </rPh>
    <phoneticPr fontId="3"/>
  </si>
  <si>
    <t>団体</t>
    <rPh sb="0" eb="2">
      <t>ダンタイ</t>
    </rPh>
    <phoneticPr fontId="3"/>
  </si>
  <si>
    <t>自由演技
総数</t>
    <rPh sb="0" eb="2">
      <t>ジユウ</t>
    </rPh>
    <rPh sb="2" eb="4">
      <t>エンギ</t>
    </rPh>
    <rPh sb="5" eb="7">
      <t>ソウスウ</t>
    </rPh>
    <phoneticPr fontId="4"/>
  </si>
  <si>
    <t>ジュニア</t>
    <phoneticPr fontId="4"/>
  </si>
  <si>
    <t>シニア</t>
    <phoneticPr fontId="4"/>
  </si>
  <si>
    <t>シニア</t>
    <phoneticPr fontId="4"/>
  </si>
  <si>
    <t>1-1</t>
    <phoneticPr fontId="4"/>
  </si>
  <si>
    <t>1-3</t>
    <phoneticPr fontId="4"/>
  </si>
  <si>
    <t>1-4</t>
    <phoneticPr fontId="4"/>
  </si>
  <si>
    <t>１チーム目</t>
    <rPh sb="4" eb="5">
      <t>メ</t>
    </rPh>
    <phoneticPr fontId="4"/>
  </si>
  <si>
    <t>２チーム目</t>
    <rPh sb="4" eb="5">
      <t>メ</t>
    </rPh>
    <phoneticPr fontId="4"/>
  </si>
  <si>
    <t>３チーム目</t>
    <rPh sb="4" eb="5">
      <t>メ</t>
    </rPh>
    <phoneticPr fontId="4"/>
  </si>
  <si>
    <t>４チーム目</t>
    <rPh sb="4" eb="5">
      <t>メ</t>
    </rPh>
    <phoneticPr fontId="4"/>
  </si>
  <si>
    <t>５チーム目</t>
    <rPh sb="4" eb="5">
      <t>メ</t>
    </rPh>
    <phoneticPr fontId="4"/>
  </si>
  <si>
    <t>人</t>
    <rPh sb="0" eb="1">
      <t>ニン</t>
    </rPh>
    <phoneticPr fontId="4"/>
  </si>
  <si>
    <r>
      <t>オープン</t>
    </r>
    <r>
      <rPr>
        <b/>
        <sz val="14"/>
        <color indexed="8"/>
        <rFont val="ＭＳ Ｐゴシック"/>
        <family val="3"/>
        <charset val="128"/>
      </rPr>
      <t xml:space="preserve">
選手権６種目</t>
    </r>
    <rPh sb="5" eb="8">
      <t>センシュケン</t>
    </rPh>
    <rPh sb="9" eb="11">
      <t>シュモク</t>
    </rPh>
    <phoneticPr fontId="6"/>
  </si>
  <si>
    <t>自由団体</t>
    <rPh sb="0" eb="2">
      <t>ジユウ</t>
    </rPh>
    <rPh sb="2" eb="4">
      <t>ダンタイ</t>
    </rPh>
    <phoneticPr fontId="3"/>
  </si>
  <si>
    <t>自由個人</t>
    <rPh sb="0" eb="2">
      <t>ジユウ</t>
    </rPh>
    <rPh sb="2" eb="4">
      <t>コジン</t>
    </rPh>
    <phoneticPr fontId="4"/>
  </si>
  <si>
    <t>個　人</t>
    <rPh sb="0" eb="1">
      <t>コ</t>
    </rPh>
    <rPh sb="2" eb="3">
      <t>ニン</t>
    </rPh>
    <phoneticPr fontId="3"/>
  </si>
  <si>
    <t>団　体</t>
    <rPh sb="0" eb="1">
      <t>ダン</t>
    </rPh>
    <rPh sb="2" eb="3">
      <t>カラダ</t>
    </rPh>
    <phoneticPr fontId="3"/>
  </si>
  <si>
    <t>＝</t>
    <phoneticPr fontId="3"/>
  </si>
  <si>
    <t>　団体情報記載の人数と差異が無いように入力してください。</t>
    <rPh sb="1" eb="3">
      <t>ダンタイ</t>
    </rPh>
    <rPh sb="3" eb="5">
      <t>ジョウホウ</t>
    </rPh>
    <rPh sb="5" eb="7">
      <t>キサイ</t>
    </rPh>
    <rPh sb="8" eb="10">
      <t>ニンズウ</t>
    </rPh>
    <rPh sb="11" eb="13">
      <t>サイ</t>
    </rPh>
    <rPh sb="14" eb="15">
      <t>ナ</t>
    </rPh>
    <rPh sb="19" eb="21">
      <t>ニュウリョク</t>
    </rPh>
    <phoneticPr fontId="4"/>
  </si>
  <si>
    <t>自個</t>
    <rPh sb="0" eb="1">
      <t>ジ</t>
    </rPh>
    <rPh sb="1" eb="2">
      <t>コ</t>
    </rPh>
    <phoneticPr fontId="4"/>
  </si>
  <si>
    <t>自団</t>
    <rPh sb="0" eb="1">
      <t>ジ</t>
    </rPh>
    <rPh sb="1" eb="2">
      <t>ダン</t>
    </rPh>
    <phoneticPr fontId="4"/>
  </si>
  <si>
    <t>ジュニア</t>
    <phoneticPr fontId="4"/>
  </si>
  <si>
    <t>ジュニア</t>
    <phoneticPr fontId="4"/>
  </si>
  <si>
    <t>シニア</t>
    <phoneticPr fontId="4"/>
  </si>
  <si>
    <t>オープン</t>
    <phoneticPr fontId="4"/>
  </si>
  <si>
    <t>大会名</t>
    <rPh sb="0" eb="3">
      <t>タイカイメイ</t>
    </rPh>
    <phoneticPr fontId="52"/>
  </si>
  <si>
    <t>受付開始</t>
    <rPh sb="0" eb="4">
      <t>ウケツケカイシ</t>
    </rPh>
    <phoneticPr fontId="52"/>
  </si>
  <si>
    <t>受付終了</t>
    <rPh sb="0" eb="4">
      <t>ウケツケシュウリョウ</t>
    </rPh>
    <phoneticPr fontId="52"/>
  </si>
  <si>
    <t>目黒区大会</t>
    <rPh sb="0" eb="5">
      <t>メグロクタイカイ</t>
    </rPh>
    <phoneticPr fontId="3"/>
  </si>
  <si>
    <t>小平市大会</t>
    <rPh sb="0" eb="5">
      <t>コダイラシタイカイ</t>
    </rPh>
    <phoneticPr fontId="3"/>
  </si>
  <si>
    <t>大田区大会</t>
    <rPh sb="0" eb="5">
      <t>オオタクタイカイ</t>
    </rPh>
    <phoneticPr fontId="3"/>
  </si>
  <si>
    <t>オープン６種目選手権</t>
    <phoneticPr fontId="52"/>
  </si>
  <si>
    <t>６種目選手権</t>
  </si>
  <si>
    <t>選手権を選択</t>
    <rPh sb="0" eb="3">
      <t>センシュケン</t>
    </rPh>
    <phoneticPr fontId="52"/>
  </si>
  <si>
    <t>参加大会を選択⇒</t>
    <phoneticPr fontId="4"/>
  </si>
  <si>
    <t>～</t>
  </si>
  <si>
    <t>JrⅠ</t>
  </si>
  <si>
    <t>JrⅠ</t>
    <phoneticPr fontId="4"/>
  </si>
  <si>
    <t>UJr</t>
  </si>
  <si>
    <t>関東６種目において、１人の選手が同種目で複数申込む場合は、複数行を使い入力してください。</t>
    <phoneticPr fontId="52"/>
  </si>
  <si>
    <r>
      <rPr>
        <sz val="11"/>
        <color rgb="FFFF0000"/>
        <rFont val="ＭＳ Ｐゴシック"/>
        <family val="3"/>
        <charset val="128"/>
        <scheme val="minor"/>
      </rPr>
      <t>一次発信時</t>
    </r>
    <r>
      <rPr>
        <sz val="11"/>
        <color theme="1"/>
        <rFont val="ＭＳ Ｐゴシック"/>
        <family val="3"/>
        <charset val="128"/>
        <scheme val="minor"/>
      </rPr>
      <t>にはエントリー一覧（セット番号表）をメールにて送信しますので各団体で訂正がないかどうかを確認の上、事務局まで返信をお願いいたします。</t>
    </r>
    <phoneticPr fontId="3"/>
  </si>
  <si>
    <t>・未就学は,ソロトワール以外の申し込みができません。</t>
    <phoneticPr fontId="4"/>
  </si>
  <si>
    <t>自由演技団体において、１人の選手が同種目で複数申込む場合は、複数行を使い入力してください。</t>
    <phoneticPr fontId="52"/>
  </si>
  <si>
    <t>③　ビデオ撮影証　3,000円　　購入枚数</t>
    <rPh sb="5" eb="7">
      <t>サツエイ</t>
    </rPh>
    <rPh sb="7" eb="8">
      <t>ショウ</t>
    </rPh>
    <rPh sb="14" eb="15">
      <t>エン</t>
    </rPh>
    <rPh sb="17" eb="19">
      <t>コウニュウ</t>
    </rPh>
    <rPh sb="19" eb="21">
      <t>マイスウ</t>
    </rPh>
    <phoneticPr fontId="3"/>
  </si>
  <si>
    <t>中学生以下</t>
    <rPh sb="0" eb="3">
      <t>チュウガクセイ</t>
    </rPh>
    <phoneticPr fontId="3"/>
  </si>
  <si>
    <t>高校生以上</t>
    <rPh sb="0" eb="3">
      <t>コウコウセイ</t>
    </rPh>
    <phoneticPr fontId="3"/>
  </si>
  <si>
    <t>S-OP-U9</t>
    <phoneticPr fontId="3"/>
  </si>
  <si>
    <t>S-OP-U12</t>
    <phoneticPr fontId="3"/>
  </si>
  <si>
    <t>S-OP-U15</t>
    <phoneticPr fontId="3"/>
  </si>
  <si>
    <t>S-OP-U18</t>
    <phoneticPr fontId="3"/>
  </si>
  <si>
    <t>S-OP-U22</t>
    <phoneticPr fontId="3"/>
  </si>
  <si>
    <t>S-OP-O23</t>
    <phoneticPr fontId="3"/>
  </si>
  <si>
    <t>2B-OP-U12</t>
    <phoneticPr fontId="3"/>
  </si>
  <si>
    <t>3B-OP-U12</t>
    <phoneticPr fontId="3"/>
  </si>
  <si>
    <t>SS-OP-U12</t>
    <phoneticPr fontId="3"/>
  </si>
  <si>
    <t>D-OP-U12</t>
    <phoneticPr fontId="3"/>
  </si>
  <si>
    <t>P-OP-U12</t>
    <phoneticPr fontId="3"/>
  </si>
  <si>
    <t>U12</t>
  </si>
  <si>
    <t>U12</t>
    <phoneticPr fontId="3"/>
  </si>
  <si>
    <t>2B-OP-U15</t>
    <phoneticPr fontId="3"/>
  </si>
  <si>
    <t>3B-OP-U15</t>
    <phoneticPr fontId="3"/>
  </si>
  <si>
    <t>SS-OP-U15</t>
    <phoneticPr fontId="3"/>
  </si>
  <si>
    <t>D-OP-U15</t>
    <phoneticPr fontId="3"/>
  </si>
  <si>
    <t>P-OP-U15</t>
    <phoneticPr fontId="3"/>
  </si>
  <si>
    <t>U15</t>
  </si>
  <si>
    <t>U15</t>
    <phoneticPr fontId="3"/>
  </si>
  <si>
    <t>2B-OP-U18</t>
    <phoneticPr fontId="3"/>
  </si>
  <si>
    <t>3B-OP-U18</t>
  </si>
  <si>
    <t>SS-OP-U18</t>
  </si>
  <si>
    <t>D-OP-U18</t>
  </si>
  <si>
    <t>P-OP-U18</t>
  </si>
  <si>
    <t>U18</t>
  </si>
  <si>
    <t>U9</t>
  </si>
  <si>
    <t>U9</t>
    <phoneticPr fontId="3"/>
  </si>
  <si>
    <t>2B-OP-U22</t>
  </si>
  <si>
    <t>3B-OP-U22</t>
  </si>
  <si>
    <t>D-OP-U22</t>
  </si>
  <si>
    <t>P-OP-U22</t>
  </si>
  <si>
    <t>SS-OP-U22</t>
    <phoneticPr fontId="3"/>
  </si>
  <si>
    <t>U22</t>
  </si>
  <si>
    <t>U22</t>
    <phoneticPr fontId="3"/>
  </si>
  <si>
    <t>2B-OP-O23</t>
  </si>
  <si>
    <t>3B-OP-O23</t>
  </si>
  <si>
    <t>SS-OP-O23</t>
  </si>
  <si>
    <t>D-OP-O23</t>
  </si>
  <si>
    <t>P-OP-O23</t>
  </si>
  <si>
    <t>O23</t>
  </si>
  <si>
    <t>O23</t>
    <phoneticPr fontId="3"/>
  </si>
  <si>
    <t>S-C-U9</t>
  </si>
  <si>
    <t>S-C-U9</t>
    <phoneticPr fontId="3"/>
  </si>
  <si>
    <t>女子U9</t>
    <rPh sb="0" eb="2">
      <t>ジョシ</t>
    </rPh>
    <phoneticPr fontId="3"/>
  </si>
  <si>
    <t>女子U12</t>
    <rPh sb="0" eb="2">
      <t>ジョシ</t>
    </rPh>
    <phoneticPr fontId="3"/>
  </si>
  <si>
    <t>2B-C-U12</t>
  </si>
  <si>
    <t>3B-C-U12</t>
  </si>
  <si>
    <t>SS-C-U12</t>
  </si>
  <si>
    <t>D-C-U12</t>
  </si>
  <si>
    <t>P-C-U12</t>
  </si>
  <si>
    <t>S-C-U12</t>
  </si>
  <si>
    <t>S-C-U12</t>
    <phoneticPr fontId="3"/>
  </si>
  <si>
    <t>MS-C-U12</t>
  </si>
  <si>
    <t>MS-C-U12</t>
    <phoneticPr fontId="3"/>
  </si>
  <si>
    <t>M2B-C-U12</t>
  </si>
  <si>
    <t>M2B-C-U12</t>
    <phoneticPr fontId="3"/>
  </si>
  <si>
    <t>M3B-C-U12</t>
  </si>
  <si>
    <t>M3B-C-U12</t>
    <phoneticPr fontId="3"/>
  </si>
  <si>
    <t>男子U12</t>
    <rPh sb="0" eb="2">
      <t>ダンシ</t>
    </rPh>
    <phoneticPr fontId="3"/>
  </si>
  <si>
    <t>S-C-U15</t>
  </si>
  <si>
    <t>2B-C-U15</t>
  </si>
  <si>
    <t>3B-C-U15</t>
  </si>
  <si>
    <t>SS-C-U15</t>
  </si>
  <si>
    <t>D-C-U15</t>
  </si>
  <si>
    <t>P-C-U15</t>
  </si>
  <si>
    <t>女子U15</t>
    <rPh sb="0" eb="2">
      <t>ジョシ</t>
    </rPh>
    <phoneticPr fontId="3"/>
  </si>
  <si>
    <t>MS-C-U15</t>
  </si>
  <si>
    <t>M2B-C-U15</t>
  </si>
  <si>
    <t>M3B-C-U15</t>
  </si>
  <si>
    <t>男子U15</t>
    <rPh sb="0" eb="2">
      <t>ダンシ</t>
    </rPh>
    <phoneticPr fontId="3"/>
  </si>
  <si>
    <t>S-C-U18</t>
  </si>
  <si>
    <t>2B-C-U18</t>
  </si>
  <si>
    <t>3B-C-U18</t>
  </si>
  <si>
    <t>SS-C-U18</t>
  </si>
  <si>
    <t>D-C-U18</t>
  </si>
  <si>
    <t>P-C-U18</t>
  </si>
  <si>
    <t>女子U18</t>
    <rPh sb="0" eb="2">
      <t>ジョシ</t>
    </rPh>
    <phoneticPr fontId="3"/>
  </si>
  <si>
    <t>MS-C-U18</t>
  </si>
  <si>
    <t>M2B-C-U18</t>
  </si>
  <si>
    <t>M3B-C-U18</t>
  </si>
  <si>
    <t>男子U18</t>
    <rPh sb="0" eb="2">
      <t>ダンシ</t>
    </rPh>
    <phoneticPr fontId="3"/>
  </si>
  <si>
    <t>S-C-U22</t>
  </si>
  <si>
    <t>2B-C-U22</t>
  </si>
  <si>
    <t>3B-C-U22</t>
  </si>
  <si>
    <t>SS-C-U22</t>
  </si>
  <si>
    <t>D-C-U22</t>
  </si>
  <si>
    <t>P-C-U22</t>
  </si>
  <si>
    <t>女子U22</t>
    <rPh sb="0" eb="2">
      <t>ジョシ</t>
    </rPh>
    <phoneticPr fontId="3"/>
  </si>
  <si>
    <t>S-C-O23</t>
  </si>
  <si>
    <t>2B-C-O23</t>
  </si>
  <si>
    <t>3B-C-O23</t>
  </si>
  <si>
    <t>SS-C-O23</t>
  </si>
  <si>
    <t>D-C-O23</t>
  </si>
  <si>
    <t>P-C-O23</t>
  </si>
  <si>
    <t>女子O23</t>
    <rPh sb="0" eb="2">
      <t>ジョシ</t>
    </rPh>
    <phoneticPr fontId="3"/>
  </si>
  <si>
    <t>MS-C-O19</t>
  </si>
  <si>
    <t>M2B-C-O19</t>
  </si>
  <si>
    <t>M3B-C-O19</t>
  </si>
  <si>
    <t>男子O19</t>
    <rPh sb="0" eb="2">
      <t>ダンシ</t>
    </rPh>
    <phoneticPr fontId="3"/>
  </si>
  <si>
    <t>マスターズ
部門</t>
    <rPh sb="6" eb="8">
      <t>ブモン</t>
    </rPh>
    <phoneticPr fontId="3"/>
  </si>
  <si>
    <t>U18</t>
    <phoneticPr fontId="3"/>
  </si>
  <si>
    <t>6月1日（木）</t>
    <rPh sb="1" eb="2">
      <t>ガツ</t>
    </rPh>
    <rPh sb="3" eb="4">
      <t>ニチ</t>
    </rPh>
    <rPh sb="5" eb="6">
      <t>モク</t>
    </rPh>
    <phoneticPr fontId="3"/>
  </si>
  <si>
    <t>9月1日（金）</t>
    <rPh sb="1" eb="2">
      <t>ガツ</t>
    </rPh>
    <rPh sb="3" eb="4">
      <t>ニチ</t>
    </rPh>
    <rPh sb="5" eb="6">
      <t>キン</t>
    </rPh>
    <phoneticPr fontId="3"/>
  </si>
  <si>
    <t>10月10日（火）</t>
    <rPh sb="2" eb="3">
      <t>ガツ</t>
    </rPh>
    <rPh sb="5" eb="6">
      <t>ニチ</t>
    </rPh>
    <rPh sb="7" eb="8">
      <t>ヒ</t>
    </rPh>
    <phoneticPr fontId="3"/>
  </si>
  <si>
    <t>オープン選手権
総数</t>
    <rPh sb="4" eb="7">
      <t>センシュケン</t>
    </rPh>
    <rPh sb="8" eb="10">
      <t>ソウスウ</t>
    </rPh>
    <phoneticPr fontId="4"/>
  </si>
  <si>
    <t>関東オープン
総数</t>
    <rPh sb="0" eb="2">
      <t>カントウ</t>
    </rPh>
    <rPh sb="7" eb="9">
      <t>ソウスウ</t>
    </rPh>
    <phoneticPr fontId="4"/>
  </si>
  <si>
    <t>キンダー</t>
    <phoneticPr fontId="3"/>
  </si>
  <si>
    <t>マスターズ判定用</t>
    <rPh sb="5" eb="8">
      <t>ハンテイヨウ</t>
    </rPh>
    <phoneticPr fontId="4"/>
  </si>
  <si>
    <t>マスターズ
全国共通
規定演技</t>
    <rPh sb="6" eb="8">
      <t>ゼンコク</t>
    </rPh>
    <rPh sb="8" eb="10">
      <t>キョウツウ</t>
    </rPh>
    <rPh sb="11" eb="13">
      <t>キテイ</t>
    </rPh>
    <rPh sb="13" eb="15">
      <t>エンギ</t>
    </rPh>
    <phoneticPr fontId="6"/>
  </si>
  <si>
    <t>マスターズ
関東６種目</t>
    <rPh sb="6" eb="8">
      <t>カントウ</t>
    </rPh>
    <rPh sb="9" eb="11">
      <t>シュモク</t>
    </rPh>
    <phoneticPr fontId="6"/>
  </si>
  <si>
    <r>
      <rPr>
        <b/>
        <sz val="18"/>
        <color rgb="FFFF0000"/>
        <rFont val="ＭＳ Ｐゴシック"/>
        <family val="3"/>
        <charset val="128"/>
        <scheme val="minor"/>
      </rPr>
      <t>【マスターズ用】</t>
    </r>
    <r>
      <rPr>
        <b/>
        <sz val="18"/>
        <color theme="1"/>
        <rFont val="ＭＳ Ｐゴシック"/>
        <family val="3"/>
        <charset val="128"/>
        <scheme val="minor"/>
      </rPr>
      <t>出場選手情報　入力欄　　（※１人１行に入力）</t>
    </r>
    <rPh sb="6" eb="7">
      <t>ヨウ</t>
    </rPh>
    <rPh sb="23" eb="24">
      <t>ニン</t>
    </rPh>
    <rPh sb="25" eb="26">
      <t>ギョウ</t>
    </rPh>
    <rPh sb="27" eb="29">
      <t>ニュウリョク</t>
    </rPh>
    <phoneticPr fontId="4"/>
  </si>
  <si>
    <t>合計</t>
    <rPh sb="0" eb="2">
      <t>ゴウケイ</t>
    </rPh>
    <phoneticPr fontId="52"/>
  </si>
  <si>
    <t>入門</t>
    <rPh sb="0" eb="2">
      <t>ニュウモン</t>
    </rPh>
    <phoneticPr fontId="52"/>
  </si>
  <si>
    <t>上級</t>
    <rPh sb="0" eb="2">
      <t>ジョウキュウ</t>
    </rPh>
    <phoneticPr fontId="52"/>
  </si>
  <si>
    <t>Ｕ－９</t>
  </si>
  <si>
    <t>Ｕ－１２</t>
  </si>
  <si>
    <t>Ｕ－１５</t>
  </si>
  <si>
    <t>Ｕ－１８</t>
  </si>
  <si>
    <t>Ｕ－２２</t>
  </si>
  <si>
    <t>O－２３</t>
    <phoneticPr fontId="3"/>
  </si>
  <si>
    <t>O－１９</t>
    <phoneticPr fontId="3"/>
  </si>
  <si>
    <t>ジュニア</t>
  </si>
  <si>
    <t>S-OP-U9</t>
    <phoneticPr fontId="4"/>
  </si>
  <si>
    <t>S-OP-U12</t>
  </si>
  <si>
    <t>S-OP-U15</t>
  </si>
  <si>
    <t>S-OP-U18</t>
  </si>
  <si>
    <t>S-OP-U22</t>
  </si>
  <si>
    <t>S-OP-O23</t>
  </si>
  <si>
    <t>2B-OP-U12</t>
  </si>
  <si>
    <t>2B-OP-U15</t>
  </si>
  <si>
    <t>2B-OP-U18</t>
  </si>
  <si>
    <t>3B-OP-U12</t>
  </si>
  <si>
    <t>3B-OP-U15</t>
  </si>
  <si>
    <t>SS-OP-U12</t>
  </si>
  <si>
    <t>SS-OP-U15</t>
  </si>
  <si>
    <t>SS-OP-U22</t>
  </si>
  <si>
    <t>D-OP-U12</t>
  </si>
  <si>
    <t>D-OP-U15</t>
  </si>
  <si>
    <t>P-OP-U12</t>
  </si>
  <si>
    <t>P-OP-U15</t>
  </si>
  <si>
    <t>7月7日（金）</t>
    <rPh sb="1" eb="2">
      <t>ガツ</t>
    </rPh>
    <rPh sb="3" eb="4">
      <t>ニチ</t>
    </rPh>
    <rPh sb="5" eb="6">
      <t>キン</t>
    </rPh>
    <phoneticPr fontId="3"/>
  </si>
  <si>
    <t>構成</t>
    <rPh sb="0" eb="2">
      <t>コウセイ</t>
    </rPh>
    <phoneticPr fontId="4"/>
  </si>
  <si>
    <t>級</t>
    <rPh sb="0" eb="1">
      <t>キュウ</t>
    </rPh>
    <phoneticPr fontId="4"/>
  </si>
  <si>
    <t>シニア</t>
  </si>
  <si>
    <t>プレチームコンテストに申込む場合は、ここにジュニア/シニア・級・人数を記載し、入力シートに各チームメンバーを入力すること。</t>
    <rPh sb="11" eb="13">
      <t>モウシコ</t>
    </rPh>
    <rPh sb="14" eb="16">
      <t>バアイ</t>
    </rPh>
    <rPh sb="30" eb="31">
      <t>キュウ</t>
    </rPh>
    <rPh sb="32" eb="34">
      <t>ニンズウ</t>
    </rPh>
    <rPh sb="35" eb="37">
      <t>キサイ</t>
    </rPh>
    <rPh sb="39" eb="41">
      <t>ニュウリョク</t>
    </rPh>
    <rPh sb="45" eb="46">
      <t>カク</t>
    </rPh>
    <rPh sb="54" eb="56">
      <t>ニュウリョク</t>
    </rPh>
    <phoneticPr fontId="4"/>
  </si>
  <si>
    <t>ジュニア/シニア</t>
    <phoneticPr fontId="4"/>
  </si>
  <si>
    <t>人数</t>
    <rPh sb="0" eb="2">
      <t>ニンズウ</t>
    </rPh>
    <phoneticPr fontId="4"/>
  </si>
  <si>
    <t>最上級</t>
    <rPh sb="0" eb="3">
      <t>サイジョウキュウ</t>
    </rPh>
    <phoneticPr fontId="4"/>
  </si>
  <si>
    <t>プレチームコンテスト</t>
    <phoneticPr fontId="3"/>
  </si>
  <si>
    <t>最上級</t>
    <rPh sb="0" eb="3">
      <t>サイジョウキュウ</t>
    </rPh>
    <phoneticPr fontId="3"/>
  </si>
  <si>
    <t>個人参加費</t>
    <rPh sb="0" eb="5">
      <t>コジンサンカヒ</t>
    </rPh>
    <phoneticPr fontId="3"/>
  </si>
  <si>
    <t>キンダー</t>
    <phoneticPr fontId="4"/>
  </si>
  <si>
    <t>プレチームコン</t>
    <phoneticPr fontId="4"/>
  </si>
  <si>
    <t>（個人参加費）</t>
    <rPh sb="1" eb="6">
      <t>コジンサンカヒ</t>
    </rPh>
    <phoneticPr fontId="3"/>
  </si>
  <si>
    <t>世田谷区大会</t>
  </si>
  <si>
    <t>品川区大会</t>
  </si>
  <si>
    <t>港区大会</t>
  </si>
  <si>
    <t>チームコンテスト</t>
    <phoneticPr fontId="3"/>
  </si>
  <si>
    <t>チーム
コンテスト
総数</t>
    <rPh sb="10" eb="12">
      <t>ソウスウ</t>
    </rPh>
    <phoneticPr fontId="4"/>
  </si>
  <si>
    <t>団体</t>
    <rPh sb="0" eb="2">
      <t>ダンタイ</t>
    </rPh>
    <phoneticPr fontId="4"/>
  </si>
  <si>
    <r>
      <t>自由演技　</t>
    </r>
    <r>
      <rPr>
        <b/>
        <sz val="14"/>
        <color theme="1"/>
        <rFont val="ＭＳ Ｐゴシック"/>
        <family val="3"/>
        <charset val="128"/>
        <scheme val="minor"/>
      </rPr>
      <t>団体</t>
    </r>
    <r>
      <rPr>
        <b/>
        <sz val="12"/>
        <color theme="1"/>
        <rFont val="ＭＳ Ｐゴシック"/>
        <family val="3"/>
        <charset val="128"/>
        <scheme val="minor"/>
      </rPr>
      <t>に申込む場合は、ここにジュニア/シニア・人数を記載し、入力シートに各チームメンバーを入力すること。</t>
    </r>
    <rPh sb="0" eb="2">
      <t>ジユウ</t>
    </rPh>
    <rPh sb="2" eb="4">
      <t>エンギ</t>
    </rPh>
    <rPh sb="5" eb="7">
      <t>ダンタイ</t>
    </rPh>
    <rPh sb="8" eb="10">
      <t>モウシコ</t>
    </rPh>
    <rPh sb="11" eb="13">
      <t>バアイ</t>
    </rPh>
    <rPh sb="27" eb="29">
      <t>ニンズウ</t>
    </rPh>
    <rPh sb="30" eb="32">
      <t>キサイ</t>
    </rPh>
    <rPh sb="34" eb="36">
      <t>ニュウリョク</t>
    </rPh>
    <rPh sb="40" eb="41">
      <t>カク</t>
    </rPh>
    <rPh sb="49" eb="51">
      <t>ニュウリョク</t>
    </rPh>
    <phoneticPr fontId="4"/>
  </si>
  <si>
    <t>チームコンテスト</t>
    <phoneticPr fontId="4"/>
  </si>
  <si>
    <t>　5名以下・・・5,000円</t>
    <rPh sb="2" eb="5">
      <t>メイイカ</t>
    </rPh>
    <rPh sb="13" eb="14">
      <t>エン</t>
    </rPh>
    <phoneticPr fontId="3"/>
  </si>
  <si>
    <t>　6名以上9名以下・・・人数×1,000円</t>
    <rPh sb="2" eb="3">
      <t>メイ</t>
    </rPh>
    <rPh sb="3" eb="5">
      <t>イジョウ</t>
    </rPh>
    <rPh sb="6" eb="9">
      <t>メイイカ</t>
    </rPh>
    <rPh sb="12" eb="14">
      <t>ニンズウ</t>
    </rPh>
    <rPh sb="20" eb="21">
      <t>エン</t>
    </rPh>
    <phoneticPr fontId="3"/>
  </si>
  <si>
    <t>　10名以上・・・10,000円</t>
    <rPh sb="3" eb="6">
      <t>メイイジョウ</t>
    </rPh>
    <rPh sb="15" eb="16">
      <t>エン</t>
    </rPh>
    <phoneticPr fontId="3"/>
  </si>
  <si>
    <t>※自由演技団体の計算方法</t>
    <rPh sb="1" eb="3">
      <t>ジユウ</t>
    </rPh>
    <rPh sb="3" eb="5">
      <t>エンギ</t>
    </rPh>
    <rPh sb="5" eb="7">
      <t>ダンタイ</t>
    </rPh>
    <rPh sb="8" eb="12">
      <t>ケイサンホウホウ</t>
    </rPh>
    <phoneticPr fontId="3"/>
  </si>
  <si>
    <t>U15</t>
    <phoneticPr fontId="4"/>
  </si>
  <si>
    <t>U12</t>
    <phoneticPr fontId="4"/>
  </si>
  <si>
    <t>O19</t>
    <phoneticPr fontId="3"/>
  </si>
  <si>
    <t>入力欄以外には入力出来ません（グレーの箇所には入力しないでください）。</t>
    <rPh sb="19" eb="21">
      <t>カショ</t>
    </rPh>
    <rPh sb="23" eb="25">
      <t>ニュウリョク</t>
    </rPh>
    <phoneticPr fontId="4"/>
  </si>
  <si>
    <t>団体（ジュニア）</t>
    <rPh sb="0" eb="1">
      <t>ダン</t>
    </rPh>
    <rPh sb="1" eb="2">
      <t>カラダ</t>
    </rPh>
    <phoneticPr fontId="3"/>
  </si>
  <si>
    <t>団体（シニア）</t>
    <rPh sb="0" eb="1">
      <t>ダン</t>
    </rPh>
    <rPh sb="1" eb="2">
      <t>カラダ</t>
    </rPh>
    <phoneticPr fontId="3"/>
  </si>
  <si>
    <t>チーム</t>
    <phoneticPr fontId="3"/>
  </si>
  <si>
    <t>-</t>
    <phoneticPr fontId="52"/>
  </si>
  <si>
    <t>6月1日（日）</t>
    <rPh sb="1" eb="2">
      <t>ガツ</t>
    </rPh>
    <rPh sb="3" eb="4">
      <t>ニチ</t>
    </rPh>
    <rPh sb="5" eb="6">
      <t>ニチ</t>
    </rPh>
    <phoneticPr fontId="3"/>
  </si>
  <si>
    <t>6月25日（水）</t>
    <rPh sb="1" eb="2">
      <t>ガツ</t>
    </rPh>
    <rPh sb="4" eb="5">
      <t>ニチ</t>
    </rPh>
    <rPh sb="6" eb="7">
      <t>スイ</t>
    </rPh>
    <phoneticPr fontId="3"/>
  </si>
  <si>
    <t>6月30日（月）</t>
    <rPh sb="1" eb="2">
      <t>ガツ</t>
    </rPh>
    <rPh sb="4" eb="5">
      <t>ニチ</t>
    </rPh>
    <rPh sb="6" eb="7">
      <t>ツキ</t>
    </rPh>
    <phoneticPr fontId="3"/>
  </si>
  <si>
    <t>10月1日（水）</t>
    <rPh sb="2" eb="3">
      <t>ガツ</t>
    </rPh>
    <rPh sb="4" eb="5">
      <t>ニチ</t>
    </rPh>
    <rPh sb="6" eb="7">
      <t>スイ</t>
    </rPh>
    <phoneticPr fontId="3"/>
  </si>
  <si>
    <t>11月14日（金）</t>
    <rPh sb="2" eb="3">
      <t>ガツ</t>
    </rPh>
    <rPh sb="5" eb="6">
      <t>ニチ</t>
    </rPh>
    <rPh sb="7" eb="8">
      <t>キン</t>
    </rPh>
    <phoneticPr fontId="3"/>
  </si>
  <si>
    <t>7月5日（土）</t>
    <rPh sb="1" eb="2">
      <t>ガツ</t>
    </rPh>
    <rPh sb="3" eb="4">
      <t>ニチ</t>
    </rPh>
    <rPh sb="5" eb="6">
      <t>ツチ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</si>
</sst>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¥&quot;#,##0;&quot;¥&quot;\-#,##0"/>
    <numFmt numFmtId="176" formatCode="[$-F800]dddd\,\ mmmm\ dd\,\ yyyy"/>
    <numFmt numFmtId="177" formatCode="0_);[Red]\(0\)"/>
    <numFmt numFmtId="178" formatCode="00000000"/>
    <numFmt numFmtId="179" formatCode="m&quot;月&quot;d&quot;日&quot;\(aaa\)&quot;～&quot;m&quot;月&quot;d&quot;日&quot;\(aaa\)"/>
    <numFmt numFmtId="180" formatCode="m&quot;月&quot;d&quot;日&quot;\(aaa\)"/>
  </numFmts>
  <fonts count="66" x14ac:knownFonts="1">
    <font>
      <sz val="11"/>
      <color theme="1"/>
      <name val="ＭＳ Ｐゴシック"/>
      <family val="3"/>
      <charset val="128"/>
      <scheme val="minor"/>
    </font>
    <font>
      <sz val="11"/>
      <color indexed="60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12"/>
      <name val="ＭＳ Ｐゴシック"/>
      <family val="3"/>
      <charset val="128"/>
    </font>
    <font>
      <sz val="16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2"/>
      <color indexed="8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24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12"/>
      <color rgb="FF333333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3"/>
      <color theme="1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sz val="14"/>
      <color rgb="FFFF0000"/>
      <name val="ＭＳ Ｐゴシック"/>
      <family val="3"/>
      <charset val="128"/>
      <scheme val="minor"/>
    </font>
    <font>
      <b/>
      <sz val="14"/>
      <color rgb="FFFF0000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b/>
      <sz val="14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b/>
      <sz val="18"/>
      <color rgb="FFFF0000"/>
      <name val="ＭＳ Ｐゴシック"/>
      <family val="3"/>
      <charset val="128"/>
      <scheme val="minor"/>
    </font>
    <font>
      <b/>
      <sz val="12"/>
      <color rgb="FFFF0000"/>
      <name val="ＭＳ Ｐゴシック"/>
      <family val="3"/>
      <charset val="128"/>
    </font>
    <font>
      <sz val="16"/>
      <color theme="1"/>
      <name val="ＭＳ Ｐゴシック"/>
      <family val="3"/>
      <charset val="128"/>
      <scheme val="minor"/>
    </font>
    <font>
      <b/>
      <sz val="12"/>
      <color rgb="FFFF0000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rgb="FF333333"/>
      <name val="ＭＳ Ｐゴシック"/>
      <family val="3"/>
      <charset val="128"/>
      <scheme val="minor"/>
    </font>
    <font>
      <b/>
      <u/>
      <sz val="12"/>
      <color rgb="FFFF0000"/>
      <name val="ＭＳ Ｐゴシック"/>
      <family val="3"/>
      <charset val="128"/>
      <scheme val="minor"/>
    </font>
    <font>
      <u/>
      <sz val="12"/>
      <name val="ＭＳ Ｐゴシック"/>
      <family val="3"/>
      <charset val="128"/>
    </font>
    <font>
      <u/>
      <sz val="12"/>
      <color theme="1"/>
      <name val="ＭＳ Ｐゴシック"/>
      <family val="3"/>
      <charset val="128"/>
      <scheme val="minor"/>
    </font>
    <font>
      <b/>
      <sz val="16"/>
      <name val="ＭＳ Ｐゴシック"/>
      <family val="3"/>
      <charset val="128"/>
      <scheme val="minor"/>
    </font>
    <font>
      <b/>
      <sz val="16"/>
      <color rgb="FFFF0000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b/>
      <sz val="11"/>
      <name val="ＭＳ Ｐゴシック"/>
      <family val="3"/>
      <charset val="128"/>
    </font>
    <font>
      <sz val="22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b/>
      <sz val="10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  <scheme val="minor"/>
    </font>
    <font>
      <b/>
      <u/>
      <sz val="12"/>
      <color theme="3" tint="0.39997558519241921"/>
      <name val="ＭＳ Ｐゴシック"/>
      <family val="3"/>
      <charset val="128"/>
      <scheme val="minor"/>
    </font>
    <font>
      <b/>
      <sz val="9"/>
      <color rgb="FFFF0000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</font>
    <font>
      <b/>
      <u/>
      <sz val="11"/>
      <color rgb="FFFF0000"/>
      <name val="ＭＳ Ｐゴシック"/>
      <family val="3"/>
      <charset val="128"/>
    </font>
    <font>
      <b/>
      <u/>
      <sz val="10"/>
      <color rgb="FFFF0000"/>
      <name val="ＭＳ Ｐゴシック"/>
      <family val="3"/>
      <charset val="128"/>
    </font>
    <font>
      <b/>
      <sz val="10"/>
      <name val="ＭＳ Ｐゴシック"/>
      <family val="3"/>
      <charset val="128"/>
      <scheme val="minor"/>
    </font>
  </fonts>
  <fills count="1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2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medium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diagonalUp="1">
      <left style="medium">
        <color indexed="64"/>
      </left>
      <right style="medium">
        <color indexed="64"/>
      </right>
      <top/>
      <bottom/>
      <diagonal style="thin">
        <color indexed="64"/>
      </diagonal>
    </border>
    <border diagonalUp="1">
      <left style="medium">
        <color indexed="64"/>
      </left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 diagonalUp="1">
      <left style="thin">
        <color indexed="64"/>
      </left>
      <right/>
      <top/>
      <bottom style="medium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medium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 diagonalUp="1">
      <left style="thin">
        <color indexed="64"/>
      </left>
      <right style="medium">
        <color indexed="64"/>
      </right>
      <top style="medium">
        <color indexed="64"/>
      </top>
      <bottom/>
      <diagonal style="thin">
        <color indexed="64"/>
      </diagonal>
    </border>
    <border diagonalUp="1">
      <left style="thin">
        <color indexed="64"/>
      </left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Dashed">
        <color indexed="64"/>
      </left>
      <right/>
      <top style="mediumDashed">
        <color indexed="64"/>
      </top>
      <bottom style="mediumDashed">
        <color indexed="64"/>
      </bottom>
      <diagonal/>
    </border>
    <border>
      <left/>
      <right style="mediumDashed">
        <color indexed="64"/>
      </right>
      <top style="mediumDashed">
        <color indexed="64"/>
      </top>
      <bottom style="mediumDashed">
        <color indexed="64"/>
      </bottom>
      <diagonal/>
    </border>
    <border>
      <left/>
      <right/>
      <top style="mediumDashed">
        <color indexed="64"/>
      </top>
      <bottom style="mediumDashed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 style="thin">
        <color indexed="64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 style="thin">
        <color indexed="64"/>
      </right>
      <top style="thick">
        <color rgb="FFFF0000"/>
      </top>
      <bottom/>
      <diagonal/>
    </border>
    <border>
      <left style="thin">
        <color indexed="64"/>
      </left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n">
        <color indexed="64"/>
      </right>
      <top/>
      <bottom/>
      <diagonal/>
    </border>
    <border>
      <left style="thin">
        <color indexed="64"/>
      </left>
      <right style="thick">
        <color rgb="FFFF0000"/>
      </right>
      <top/>
      <bottom/>
      <diagonal/>
    </border>
    <border>
      <left style="thick">
        <color rgb="FFFF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rgb="FFFF0000"/>
      </right>
      <top/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FF0000"/>
      </right>
      <top style="thin">
        <color indexed="64"/>
      </top>
      <bottom/>
      <diagonal/>
    </border>
    <border>
      <left style="thick">
        <color rgb="FFFF0000"/>
      </left>
      <right style="thin">
        <color indexed="64"/>
      </right>
      <top/>
      <bottom style="thick">
        <color rgb="FFFF0000"/>
      </bottom>
      <diagonal/>
    </border>
    <border>
      <left style="thin">
        <color indexed="64"/>
      </left>
      <right style="thick">
        <color rgb="FFFF0000"/>
      </right>
      <top/>
      <bottom style="thick">
        <color rgb="FFFF0000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>
      <left/>
      <right/>
      <top style="thin">
        <color indexed="64"/>
      </top>
      <bottom style="medium">
        <color indexed="64"/>
      </bottom>
      <diagonal style="thin">
        <color indexed="64"/>
      </diagonal>
    </border>
    <border>
      <left style="thick">
        <color rgb="FFFF0000"/>
      </left>
      <right style="thin">
        <color indexed="64"/>
      </right>
      <top style="thick">
        <color rgb="FFFF0000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ck">
        <color rgb="FFFF0000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ck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/>
      <top style="thin">
        <color indexed="64"/>
      </top>
      <bottom style="medium">
        <color rgb="FFFF0000"/>
      </bottom>
      <diagonal/>
    </border>
    <border>
      <left/>
      <right/>
      <top style="thin">
        <color indexed="64"/>
      </top>
      <bottom style="medium">
        <color rgb="FFFF0000"/>
      </bottom>
      <diagonal/>
    </border>
    <border>
      <left/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medium">
        <color rgb="FFFF0000"/>
      </bottom>
      <diagonal/>
    </border>
    <border>
      <left style="medium">
        <color rgb="FFFF0000"/>
      </left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 style="medium">
        <color rgb="FFFF0000"/>
      </right>
      <top/>
      <bottom style="thin">
        <color indexed="64"/>
      </bottom>
      <diagonal style="thin">
        <color indexed="64"/>
      </diagonal>
    </border>
    <border>
      <left style="medium">
        <color rgb="FFFF0000"/>
      </left>
      <right style="thin">
        <color indexed="64"/>
      </right>
      <top style="medium">
        <color rgb="FFFF0000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double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 style="double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thin">
        <color indexed="64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/>
      <top style="medium">
        <color rgb="FFFF0000"/>
      </top>
      <bottom style="medium">
        <color rgb="FFFF0000"/>
      </bottom>
      <diagonal/>
    </border>
    <border>
      <left style="medium">
        <color indexed="64"/>
      </left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 diagonalUp="1">
      <left style="thin">
        <color indexed="64"/>
      </left>
      <right/>
      <top style="medium">
        <color indexed="64"/>
      </top>
      <bottom/>
      <diagonal style="thin">
        <color indexed="64"/>
      </diagonal>
    </border>
    <border diagonalUp="1">
      <left/>
      <right/>
      <top style="medium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medium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 style="double">
        <color indexed="64"/>
      </bottom>
      <diagonal style="thin">
        <color indexed="64"/>
      </diagonal>
    </border>
    <border diagonalUp="1">
      <left/>
      <right/>
      <top/>
      <bottom style="double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double">
        <color indexed="64"/>
      </bottom>
      <diagonal style="thin">
        <color indexed="64"/>
      </diagonal>
    </border>
    <border diagonalUp="1">
      <left style="thin">
        <color indexed="64"/>
      </left>
      <right/>
      <top style="double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double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double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 diagonalUp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 diagonalUp="1">
      <left/>
      <right/>
      <top/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/>
      <right style="medium">
        <color indexed="64"/>
      </right>
      <top style="medium">
        <color rgb="FFFF0000"/>
      </top>
      <bottom style="medium">
        <color rgb="FFFF0000"/>
      </bottom>
      <diagonal/>
    </border>
  </borders>
  <cellStyleXfs count="6">
    <xf numFmtId="0" fontId="0" fillId="0" borderId="0">
      <alignment vertical="center"/>
    </xf>
    <xf numFmtId="38" fontId="21" fillId="0" borderId="0" applyFont="0" applyFill="0" applyBorder="0" applyAlignment="0" applyProtection="0">
      <alignment vertical="center"/>
    </xf>
    <xf numFmtId="0" fontId="2" fillId="0" borderId="0"/>
    <xf numFmtId="0" fontId="21" fillId="0" borderId="0">
      <alignment vertical="center"/>
    </xf>
    <xf numFmtId="0" fontId="21" fillId="0" borderId="0">
      <alignment vertical="center"/>
    </xf>
    <xf numFmtId="0" fontId="58" fillId="0" borderId="0" applyNumberFormat="0" applyFill="0" applyBorder="0" applyAlignment="0" applyProtection="0">
      <alignment vertical="center"/>
    </xf>
  </cellStyleXfs>
  <cellXfs count="11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2"/>
    <xf numFmtId="0" fontId="10" fillId="0" borderId="0" xfId="2" applyFont="1" applyAlignment="1">
      <alignment horizontal="center"/>
    </xf>
    <xf numFmtId="0" fontId="9" fillId="0" borderId="0" xfId="2" applyFont="1" applyAlignment="1">
      <alignment horizontal="center"/>
    </xf>
    <xf numFmtId="0" fontId="8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center"/>
    </xf>
    <xf numFmtId="0" fontId="9" fillId="0" borderId="0" xfId="2" applyFont="1" applyAlignment="1">
      <alignment horizontal="center" vertical="center"/>
    </xf>
    <xf numFmtId="0" fontId="10" fillId="0" borderId="0" xfId="2" applyFont="1" applyAlignment="1">
      <alignment horizontal="left"/>
    </xf>
    <xf numFmtId="0" fontId="15" fillId="0" borderId="2" xfId="2" applyFont="1" applyBorder="1" applyAlignment="1">
      <alignment horizontal="center"/>
    </xf>
    <xf numFmtId="0" fontId="24" fillId="0" borderId="0" xfId="0" applyFont="1">
      <alignment vertical="center"/>
    </xf>
    <xf numFmtId="0" fontId="5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38" fontId="21" fillId="0" borderId="0" xfId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177" fontId="0" fillId="0" borderId="0" xfId="0" applyNumberFormat="1">
      <alignment vertical="center"/>
    </xf>
    <xf numFmtId="177" fontId="12" fillId="4" borderId="24" xfId="0" applyNumberFormat="1" applyFont="1" applyFill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177" fontId="12" fillId="0" borderId="26" xfId="0" applyNumberFormat="1" applyFont="1" applyBorder="1" applyAlignment="1">
      <alignment horizontal="center" vertical="center"/>
    </xf>
    <xf numFmtId="177" fontId="12" fillId="0" borderId="27" xfId="1" applyNumberFormat="1" applyFont="1" applyBorder="1" applyAlignment="1">
      <alignment horizontal="center" vertical="center"/>
    </xf>
    <xf numFmtId="177" fontId="12" fillId="0" borderId="28" xfId="0" applyNumberFormat="1" applyFont="1" applyBorder="1" applyAlignment="1">
      <alignment horizontal="center" vertical="center"/>
    </xf>
    <xf numFmtId="177" fontId="12" fillId="0" borderId="0" xfId="0" applyNumberFormat="1" applyFont="1" applyAlignment="1">
      <alignment horizontal="center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25" fillId="0" borderId="0" xfId="0" applyFont="1">
      <alignment vertical="center"/>
    </xf>
    <xf numFmtId="0" fontId="0" fillId="0" borderId="30" xfId="0" applyBorder="1">
      <alignment vertical="center"/>
    </xf>
    <xf numFmtId="38" fontId="21" fillId="0" borderId="31" xfId="1" applyBorder="1">
      <alignment vertical="center"/>
    </xf>
    <xf numFmtId="38" fontId="21" fillId="0" borderId="29" xfId="1" applyBorder="1">
      <alignment vertical="center"/>
    </xf>
    <xf numFmtId="176" fontId="0" fillId="0" borderId="32" xfId="0" applyNumberFormat="1" applyBorder="1" applyAlignment="1" applyProtection="1">
      <alignment horizontal="center" vertical="center"/>
      <protection locked="0"/>
    </xf>
    <xf numFmtId="0" fontId="26" fillId="0" borderId="0" xfId="0" applyFont="1">
      <alignment vertical="center"/>
    </xf>
    <xf numFmtId="0" fontId="0" fillId="0" borderId="34" xfId="0" applyBorder="1">
      <alignment vertical="center"/>
    </xf>
    <xf numFmtId="0" fontId="0" fillId="0" borderId="22" xfId="0" applyBorder="1">
      <alignment vertical="center"/>
    </xf>
    <xf numFmtId="176" fontId="0" fillId="0" borderId="5" xfId="0" applyNumberFormat="1" applyBorder="1" applyAlignment="1">
      <alignment horizontal="center" vertical="center"/>
    </xf>
    <xf numFmtId="176" fontId="0" fillId="0" borderId="5" xfId="0" applyNumberFormat="1" applyBorder="1" applyAlignment="1" applyProtection="1">
      <alignment horizontal="center" vertical="center"/>
      <protection locked="0"/>
    </xf>
    <xf numFmtId="176" fontId="0" fillId="0" borderId="38" xfId="0" applyNumberFormat="1" applyBorder="1" applyAlignment="1" applyProtection="1">
      <alignment horizontal="center" vertical="center"/>
      <protection locked="0"/>
    </xf>
    <xf numFmtId="49" fontId="0" fillId="0" borderId="15" xfId="0" applyNumberFormat="1" applyBorder="1" applyAlignment="1" applyProtection="1">
      <alignment horizontal="center" vertical="center"/>
      <protection locked="0"/>
    </xf>
    <xf numFmtId="0" fontId="27" fillId="0" borderId="16" xfId="0" applyFont="1" applyBorder="1" applyAlignment="1">
      <alignment horizontal="center" vertical="center"/>
    </xf>
    <xf numFmtId="176" fontId="0" fillId="0" borderId="44" xfId="0" applyNumberFormat="1" applyBorder="1" applyAlignment="1">
      <alignment horizontal="center" vertical="center"/>
    </xf>
    <xf numFmtId="0" fontId="22" fillId="0" borderId="22" xfId="0" applyFont="1" applyBorder="1">
      <alignment vertical="center"/>
    </xf>
    <xf numFmtId="0" fontId="0" fillId="0" borderId="3" xfId="0" applyBorder="1">
      <alignment vertical="center"/>
    </xf>
    <xf numFmtId="0" fontId="0" fillId="0" borderId="52" xfId="0" applyBorder="1" applyAlignment="1">
      <alignment horizontal="center" vertical="center"/>
    </xf>
    <xf numFmtId="49" fontId="0" fillId="0" borderId="0" xfId="0" applyNumberFormat="1">
      <alignment vertical="center"/>
    </xf>
    <xf numFmtId="0" fontId="0" fillId="4" borderId="54" xfId="0" applyFill="1" applyBorder="1" applyAlignment="1">
      <alignment horizontal="center" vertical="center"/>
    </xf>
    <xf numFmtId="0" fontId="0" fillId="6" borderId="54" xfId="0" applyFill="1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4" borderId="29" xfId="0" applyFill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28" fillId="0" borderId="0" xfId="0" applyFont="1">
      <alignment vertical="center"/>
    </xf>
    <xf numFmtId="0" fontId="28" fillId="0" borderId="0" xfId="0" applyFont="1" applyAlignment="1">
      <alignment horizontal="center" vertical="center"/>
    </xf>
    <xf numFmtId="176" fontId="28" fillId="0" borderId="0" xfId="0" applyNumberFormat="1" applyFont="1">
      <alignment vertical="center"/>
    </xf>
    <xf numFmtId="0" fontId="0" fillId="0" borderId="59" xfId="0" applyBorder="1" applyAlignment="1">
      <alignment horizontal="center" vertical="center"/>
    </xf>
    <xf numFmtId="176" fontId="0" fillId="0" borderId="45" xfId="0" applyNumberFormat="1" applyBorder="1" applyAlignment="1">
      <alignment horizontal="center" vertical="center"/>
    </xf>
    <xf numFmtId="0" fontId="0" fillId="0" borderId="58" xfId="0" applyBorder="1">
      <alignment vertical="center"/>
    </xf>
    <xf numFmtId="0" fontId="0" fillId="0" borderId="59" xfId="0" applyBorder="1">
      <alignment vertical="center"/>
    </xf>
    <xf numFmtId="177" fontId="12" fillId="7" borderId="3" xfId="0" applyNumberFormat="1" applyFont="1" applyFill="1" applyBorder="1" applyAlignment="1">
      <alignment horizontal="center" vertical="center"/>
    </xf>
    <xf numFmtId="177" fontId="18" fillId="7" borderId="3" xfId="0" applyNumberFormat="1" applyFont="1" applyFill="1" applyBorder="1" applyAlignment="1">
      <alignment horizontal="center" vertical="center" wrapText="1"/>
    </xf>
    <xf numFmtId="49" fontId="0" fillId="7" borderId="0" xfId="0" applyNumberFormat="1" applyFill="1" applyAlignment="1">
      <alignment horizontal="center" vertical="center"/>
    </xf>
    <xf numFmtId="49" fontId="0" fillId="7" borderId="46" xfId="0" applyNumberFormat="1" applyFill="1" applyBorder="1" applyAlignment="1">
      <alignment horizontal="center" vertical="center"/>
    </xf>
    <xf numFmtId="49" fontId="0" fillId="7" borderId="49" xfId="0" applyNumberFormat="1" applyFill="1" applyBorder="1" applyAlignment="1">
      <alignment horizontal="center" vertical="center"/>
    </xf>
    <xf numFmtId="49" fontId="0" fillId="7" borderId="1" xfId="0" applyNumberFormat="1" applyFill="1" applyBorder="1" applyAlignment="1">
      <alignment horizontal="center" vertical="center"/>
    </xf>
    <xf numFmtId="177" fontId="12" fillId="8" borderId="54" xfId="0" applyNumberFormat="1" applyFont="1" applyFill="1" applyBorder="1" applyAlignment="1">
      <alignment horizontal="center" vertical="center"/>
    </xf>
    <xf numFmtId="177" fontId="12" fillId="8" borderId="12" xfId="0" applyNumberFormat="1" applyFont="1" applyFill="1" applyBorder="1" applyAlignment="1">
      <alignment horizontal="center" vertical="center"/>
    </xf>
    <xf numFmtId="0" fontId="25" fillId="8" borderId="0" xfId="0" applyFont="1" applyFill="1">
      <alignment vertical="center"/>
    </xf>
    <xf numFmtId="0" fontId="27" fillId="8" borderId="70" xfId="0" applyFont="1" applyFill="1" applyBorder="1" applyAlignment="1">
      <alignment horizontal="center" vertical="center"/>
    </xf>
    <xf numFmtId="177" fontId="12" fillId="8" borderId="25" xfId="0" applyNumberFormat="1" applyFont="1" applyFill="1" applyBorder="1" applyAlignment="1">
      <alignment horizontal="center" vertical="center"/>
    </xf>
    <xf numFmtId="177" fontId="18" fillId="8" borderId="25" xfId="0" applyNumberFormat="1" applyFont="1" applyFill="1" applyBorder="1" applyAlignment="1">
      <alignment horizontal="center" vertical="center" wrapText="1"/>
    </xf>
    <xf numFmtId="177" fontId="12" fillId="8" borderId="71" xfId="0" applyNumberFormat="1" applyFont="1" applyFill="1" applyBorder="1" applyAlignment="1">
      <alignment horizontal="center" vertical="center"/>
    </xf>
    <xf numFmtId="49" fontId="0" fillId="8" borderId="72" xfId="0" applyNumberFormat="1" applyFill="1" applyBorder="1" applyAlignment="1">
      <alignment horizontal="center" vertical="center"/>
    </xf>
    <xf numFmtId="0" fontId="25" fillId="8" borderId="72" xfId="0" applyFont="1" applyFill="1" applyBorder="1">
      <alignment vertical="center"/>
    </xf>
    <xf numFmtId="49" fontId="0" fillId="8" borderId="46" xfId="0" applyNumberFormat="1" applyFill="1" applyBorder="1" applyAlignment="1">
      <alignment horizontal="center" vertical="center"/>
    </xf>
    <xf numFmtId="0" fontId="25" fillId="8" borderId="46" xfId="0" applyFont="1" applyFill="1" applyBorder="1">
      <alignment vertical="center"/>
    </xf>
    <xf numFmtId="49" fontId="0" fillId="8" borderId="49" xfId="0" applyNumberFormat="1" applyFill="1" applyBorder="1" applyAlignment="1">
      <alignment horizontal="center" vertical="center"/>
    </xf>
    <xf numFmtId="0" fontId="25" fillId="8" borderId="49" xfId="0" applyFont="1" applyFill="1" applyBorder="1">
      <alignment vertical="center"/>
    </xf>
    <xf numFmtId="49" fontId="0" fillId="8" borderId="1" xfId="0" applyNumberFormat="1" applyFill="1" applyBorder="1" applyAlignment="1">
      <alignment horizontal="center" vertical="center"/>
    </xf>
    <xf numFmtId="177" fontId="12" fillId="4" borderId="54" xfId="0" applyNumberFormat="1" applyFont="1" applyFill="1" applyBorder="1" applyAlignment="1">
      <alignment horizontal="center" vertical="center"/>
    </xf>
    <xf numFmtId="177" fontId="12" fillId="4" borderId="12" xfId="0" applyNumberFormat="1" applyFont="1" applyFill="1" applyBorder="1" applyAlignment="1">
      <alignment horizontal="center" vertical="center"/>
    </xf>
    <xf numFmtId="0" fontId="25" fillId="4" borderId="0" xfId="0" applyFont="1" applyFill="1">
      <alignment vertical="center"/>
    </xf>
    <xf numFmtId="0" fontId="27" fillId="4" borderId="70" xfId="0" applyFont="1" applyFill="1" applyBorder="1" applyAlignment="1">
      <alignment horizontal="center" vertical="center"/>
    </xf>
    <xf numFmtId="177" fontId="12" fillId="4" borderId="25" xfId="0" applyNumberFormat="1" applyFont="1" applyFill="1" applyBorder="1" applyAlignment="1">
      <alignment horizontal="center" vertical="center"/>
    </xf>
    <xf numFmtId="177" fontId="18" fillId="4" borderId="25" xfId="0" applyNumberFormat="1" applyFont="1" applyFill="1" applyBorder="1" applyAlignment="1">
      <alignment horizontal="center" vertical="center" wrapText="1"/>
    </xf>
    <xf numFmtId="177" fontId="12" fillId="4" borderId="71" xfId="0" applyNumberFormat="1" applyFont="1" applyFill="1" applyBorder="1" applyAlignment="1">
      <alignment horizontal="center" vertical="center"/>
    </xf>
    <xf numFmtId="49" fontId="0" fillId="4" borderId="72" xfId="0" applyNumberFormat="1" applyFill="1" applyBorder="1" applyAlignment="1">
      <alignment horizontal="center" vertical="center"/>
    </xf>
    <xf numFmtId="0" fontId="25" fillId="4" borderId="72" xfId="0" applyFont="1" applyFill="1" applyBorder="1">
      <alignment vertical="center"/>
    </xf>
    <xf numFmtId="49" fontId="0" fillId="4" borderId="46" xfId="0" applyNumberFormat="1" applyFill="1" applyBorder="1" applyAlignment="1">
      <alignment horizontal="center" vertical="center"/>
    </xf>
    <xf numFmtId="0" fontId="25" fillId="4" borderId="46" xfId="0" applyFont="1" applyFill="1" applyBorder="1">
      <alignment vertical="center"/>
    </xf>
    <xf numFmtId="49" fontId="0" fillId="4" borderId="49" xfId="0" applyNumberFormat="1" applyFill="1" applyBorder="1" applyAlignment="1">
      <alignment horizontal="center" vertical="center"/>
    </xf>
    <xf numFmtId="0" fontId="25" fillId="4" borderId="49" xfId="0" applyFont="1" applyFill="1" applyBorder="1">
      <alignment vertical="center"/>
    </xf>
    <xf numFmtId="49" fontId="0" fillId="4" borderId="1" xfId="0" applyNumberFormat="1" applyFill="1" applyBorder="1" applyAlignment="1">
      <alignment horizontal="center" vertical="center"/>
    </xf>
    <xf numFmtId="177" fontId="12" fillId="0" borderId="28" xfId="1" applyNumberFormat="1" applyFont="1" applyBorder="1" applyAlignment="1">
      <alignment horizontal="center" vertical="center"/>
    </xf>
    <xf numFmtId="38" fontId="12" fillId="0" borderId="75" xfId="1" applyFont="1" applyBorder="1" applyAlignment="1">
      <alignment horizontal="center" vertical="center"/>
    </xf>
    <xf numFmtId="38" fontId="21" fillId="0" borderId="70" xfId="1" applyBorder="1">
      <alignment vertical="center"/>
    </xf>
    <xf numFmtId="0" fontId="2" fillId="0" borderId="47" xfId="2" applyBorder="1" applyAlignment="1">
      <alignment horizontal="center"/>
    </xf>
    <xf numFmtId="0" fontId="12" fillId="0" borderId="46" xfId="2" applyFont="1" applyBorder="1" applyAlignment="1">
      <alignment horizontal="center"/>
    </xf>
    <xf numFmtId="0" fontId="2" fillId="0" borderId="0" xfId="2" applyAlignment="1">
      <alignment horizontal="left"/>
    </xf>
    <xf numFmtId="0" fontId="19" fillId="0" borderId="0" xfId="2" applyFont="1" applyAlignment="1">
      <alignment horizontal="center" vertical="center"/>
    </xf>
    <xf numFmtId="0" fontId="19" fillId="0" borderId="0" xfId="2" applyFont="1" applyAlignment="1">
      <alignment horizontal="left" vertical="center"/>
    </xf>
    <xf numFmtId="3" fontId="2" fillId="0" borderId="46" xfId="2" applyNumberFormat="1" applyBorder="1"/>
    <xf numFmtId="3" fontId="2" fillId="0" borderId="47" xfId="2" applyNumberFormat="1" applyBorder="1"/>
    <xf numFmtId="0" fontId="2" fillId="0" borderId="46" xfId="2" applyBorder="1"/>
    <xf numFmtId="0" fontId="2" fillId="0" borderId="0" xfId="2" applyProtection="1">
      <protection locked="0"/>
    </xf>
    <xf numFmtId="0" fontId="2" fillId="0" borderId="0" xfId="2" applyAlignment="1" applyProtection="1">
      <alignment horizontal="center"/>
      <protection locked="0"/>
    </xf>
    <xf numFmtId="0" fontId="29" fillId="0" borderId="0" xfId="4" applyFont="1" applyAlignment="1">
      <alignment horizontal="right" vertical="center"/>
    </xf>
    <xf numFmtId="0" fontId="29" fillId="0" borderId="0" xfId="4" applyFont="1" applyAlignment="1">
      <alignment horizontal="left" vertical="center"/>
    </xf>
    <xf numFmtId="0" fontId="24" fillId="0" borderId="0" xfId="4" applyFont="1" applyAlignment="1">
      <alignment horizontal="center" vertical="center"/>
    </xf>
    <xf numFmtId="0" fontId="30" fillId="0" borderId="4" xfId="4" applyFont="1" applyBorder="1" applyAlignment="1">
      <alignment horizontal="center" vertical="center"/>
    </xf>
    <xf numFmtId="0" fontId="30" fillId="0" borderId="8" xfId="4" applyFont="1" applyBorder="1" applyAlignment="1">
      <alignment horizontal="center" vertical="center"/>
    </xf>
    <xf numFmtId="0" fontId="30" fillId="0" borderId="78" xfId="4" applyFont="1" applyBorder="1" applyAlignment="1">
      <alignment horizontal="center" vertical="center"/>
    </xf>
    <xf numFmtId="0" fontId="31" fillId="0" borderId="0" xfId="4" applyFont="1" applyProtection="1">
      <alignment vertical="center"/>
      <protection locked="0"/>
    </xf>
    <xf numFmtId="0" fontId="30" fillId="0" borderId="78" xfId="4" applyFont="1" applyBorder="1" applyAlignment="1">
      <alignment horizontal="center" vertical="center" wrapText="1"/>
    </xf>
    <xf numFmtId="0" fontId="21" fillId="0" borderId="0" xfId="4">
      <alignment vertical="center"/>
    </xf>
    <xf numFmtId="0" fontId="26" fillId="0" borderId="0" xfId="4" applyFont="1" applyAlignment="1">
      <alignment horizontal="left" vertical="center"/>
    </xf>
    <xf numFmtId="0" fontId="21" fillId="0" borderId="0" xfId="4" applyAlignment="1">
      <alignment horizontal="center" vertical="center"/>
    </xf>
    <xf numFmtId="0" fontId="26" fillId="0" borderId="0" xfId="4" applyFont="1">
      <alignment vertical="center"/>
    </xf>
    <xf numFmtId="0" fontId="21" fillId="0" borderId="0" xfId="4" applyAlignment="1">
      <alignment horizontal="right" vertical="center"/>
    </xf>
    <xf numFmtId="0" fontId="31" fillId="0" borderId="0" xfId="4" applyFont="1" applyAlignment="1">
      <alignment horizontal="right" vertical="center"/>
    </xf>
    <xf numFmtId="0" fontId="32" fillId="0" borderId="0" xfId="4" applyFont="1" applyAlignment="1">
      <alignment horizontal="right" vertical="center"/>
    </xf>
    <xf numFmtId="0" fontId="21" fillId="0" borderId="0" xfId="4" applyAlignment="1">
      <alignment horizontal="left" vertical="center"/>
    </xf>
    <xf numFmtId="0" fontId="33" fillId="0" borderId="0" xfId="4" applyFont="1">
      <alignment vertical="center"/>
    </xf>
    <xf numFmtId="0" fontId="34" fillId="0" borderId="0" xfId="4" applyFont="1" applyAlignment="1">
      <alignment horizontal="right" vertical="center"/>
    </xf>
    <xf numFmtId="0" fontId="35" fillId="0" borderId="0" xfId="4" applyFont="1">
      <alignment vertical="center"/>
    </xf>
    <xf numFmtId="0" fontId="36" fillId="0" borderId="0" xfId="4" applyFont="1">
      <alignment vertical="center"/>
    </xf>
    <xf numFmtId="0" fontId="0" fillId="0" borderId="56" xfId="0" applyBorder="1" applyAlignment="1">
      <alignment horizontal="center" vertical="center"/>
    </xf>
    <xf numFmtId="0" fontId="37" fillId="0" borderId="0" xfId="4" applyFont="1" applyAlignment="1">
      <alignment horizontal="right" vertical="center"/>
    </xf>
    <xf numFmtId="0" fontId="38" fillId="0" borderId="0" xfId="4" applyFont="1">
      <alignment vertical="center"/>
    </xf>
    <xf numFmtId="176" fontId="0" fillId="0" borderId="0" xfId="0" applyNumberFormat="1">
      <alignment vertical="center"/>
    </xf>
    <xf numFmtId="176" fontId="0" fillId="0" borderId="0" xfId="0" applyNumberFormat="1" applyAlignment="1">
      <alignment horizontal="center" vertical="center"/>
    </xf>
    <xf numFmtId="177" fontId="0" fillId="0" borderId="3" xfId="0" applyNumberFormat="1" applyBorder="1">
      <alignment vertical="center"/>
    </xf>
    <xf numFmtId="0" fontId="0" fillId="7" borderId="3" xfId="0" applyFill="1" applyBorder="1">
      <alignment vertical="center"/>
    </xf>
    <xf numFmtId="0" fontId="0" fillId="7" borderId="16" xfId="0" applyFill="1" applyBorder="1">
      <alignment vertical="center"/>
    </xf>
    <xf numFmtId="49" fontId="0" fillId="0" borderId="0" xfId="0" applyNumberFormat="1" applyAlignment="1">
      <alignment horizontal="center" vertical="center"/>
    </xf>
    <xf numFmtId="38" fontId="21" fillId="0" borderId="0" xfId="1" applyAlignment="1">
      <alignment horizontal="right" vertical="center"/>
    </xf>
    <xf numFmtId="0" fontId="21" fillId="0" borderId="0" xfId="3">
      <alignment vertical="center"/>
    </xf>
    <xf numFmtId="0" fontId="21" fillId="0" borderId="0" xfId="3" applyAlignment="1">
      <alignment horizontal="center" vertical="center"/>
    </xf>
    <xf numFmtId="0" fontId="25" fillId="8" borderId="29" xfId="0" applyFont="1" applyFill="1" applyBorder="1">
      <alignment vertical="center"/>
    </xf>
    <xf numFmtId="0" fontId="0" fillId="0" borderId="80" xfId="0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177" fontId="12" fillId="0" borderId="0" xfId="0" applyNumberFormat="1" applyFont="1" applyAlignment="1">
      <alignment horizontal="left" vertical="center"/>
    </xf>
    <xf numFmtId="38" fontId="23" fillId="0" borderId="0" xfId="0" applyNumberFormat="1" applyFont="1">
      <alignment vertical="center"/>
    </xf>
    <xf numFmtId="0" fontId="0" fillId="5" borderId="3" xfId="0" applyFill="1" applyBorder="1" applyAlignment="1">
      <alignment horizontal="center" vertical="center"/>
    </xf>
    <xf numFmtId="0" fontId="0" fillId="0" borderId="45" xfId="0" applyBorder="1" applyAlignment="1">
      <alignment horizontal="right" vertical="center"/>
    </xf>
    <xf numFmtId="38" fontId="40" fillId="0" borderId="36" xfId="0" applyNumberFormat="1" applyFont="1" applyBorder="1">
      <alignment vertical="center"/>
    </xf>
    <xf numFmtId="0" fontId="0" fillId="0" borderId="81" xfId="0" applyBorder="1" applyAlignment="1">
      <alignment horizontal="center" vertical="center"/>
    </xf>
    <xf numFmtId="0" fontId="29" fillId="4" borderId="57" xfId="0" applyFont="1" applyFill="1" applyBorder="1">
      <alignment vertical="center"/>
    </xf>
    <xf numFmtId="0" fontId="29" fillId="4" borderId="83" xfId="0" applyFont="1" applyFill="1" applyBorder="1">
      <alignment vertical="center"/>
    </xf>
    <xf numFmtId="0" fontId="29" fillId="4" borderId="85" xfId="0" applyFont="1" applyFill="1" applyBorder="1">
      <alignment vertical="center"/>
    </xf>
    <xf numFmtId="177" fontId="2" fillId="7" borderId="86" xfId="0" applyNumberFormat="1" applyFont="1" applyFill="1" applyBorder="1" applyAlignment="1">
      <alignment horizontal="center" vertical="center"/>
    </xf>
    <xf numFmtId="0" fontId="0" fillId="7" borderId="36" xfId="0" applyFill="1" applyBorder="1">
      <alignment vertical="center"/>
    </xf>
    <xf numFmtId="0" fontId="0" fillId="5" borderId="78" xfId="0" applyFill="1" applyBorder="1" applyAlignment="1">
      <alignment horizontal="center" vertical="center"/>
    </xf>
    <xf numFmtId="0" fontId="0" fillId="5" borderId="86" xfId="0" applyFill="1" applyBorder="1" applyAlignment="1">
      <alignment horizontal="center" vertical="center"/>
    </xf>
    <xf numFmtId="177" fontId="12" fillId="10" borderId="12" xfId="0" applyNumberFormat="1" applyFont="1" applyFill="1" applyBorder="1" applyAlignment="1">
      <alignment horizontal="center" vertical="center"/>
    </xf>
    <xf numFmtId="177" fontId="12" fillId="10" borderId="25" xfId="0" applyNumberFormat="1" applyFont="1" applyFill="1" applyBorder="1" applyAlignment="1">
      <alignment horizontal="center" vertical="center"/>
    </xf>
    <xf numFmtId="177" fontId="18" fillId="10" borderId="25" xfId="0" applyNumberFormat="1" applyFont="1" applyFill="1" applyBorder="1" applyAlignment="1">
      <alignment horizontal="center" vertical="center" wrapText="1"/>
    </xf>
    <xf numFmtId="177" fontId="12" fillId="10" borderId="71" xfId="0" applyNumberFormat="1" applyFont="1" applyFill="1" applyBorder="1" applyAlignment="1">
      <alignment horizontal="center" vertical="center"/>
    </xf>
    <xf numFmtId="0" fontId="27" fillId="10" borderId="70" xfId="0" applyFont="1" applyFill="1" applyBorder="1" applyAlignment="1">
      <alignment horizontal="center" vertical="center"/>
    </xf>
    <xf numFmtId="49" fontId="0" fillId="10" borderId="72" xfId="0" applyNumberFormat="1" applyFill="1" applyBorder="1" applyAlignment="1">
      <alignment horizontal="center" vertical="center"/>
    </xf>
    <xf numFmtId="0" fontId="25" fillId="10" borderId="72" xfId="0" applyFont="1" applyFill="1" applyBorder="1">
      <alignment vertical="center"/>
    </xf>
    <xf numFmtId="49" fontId="0" fillId="10" borderId="46" xfId="0" applyNumberFormat="1" applyFill="1" applyBorder="1" applyAlignment="1">
      <alignment horizontal="center" vertical="center"/>
    </xf>
    <xf numFmtId="0" fontId="25" fillId="10" borderId="46" xfId="0" applyFont="1" applyFill="1" applyBorder="1">
      <alignment vertical="center"/>
    </xf>
    <xf numFmtId="49" fontId="0" fillId="10" borderId="49" xfId="0" applyNumberFormat="1" applyFill="1" applyBorder="1" applyAlignment="1">
      <alignment horizontal="center" vertical="center"/>
    </xf>
    <xf numFmtId="0" fontId="25" fillId="10" borderId="49" xfId="0" applyFont="1" applyFill="1" applyBorder="1">
      <alignment vertical="center"/>
    </xf>
    <xf numFmtId="49" fontId="0" fillId="10" borderId="1" xfId="0" applyNumberFormat="1" applyFill="1" applyBorder="1" applyAlignment="1">
      <alignment horizontal="center" vertical="center"/>
    </xf>
    <xf numFmtId="0" fontId="12" fillId="0" borderId="51" xfId="0" applyFont="1" applyBorder="1" applyAlignment="1">
      <alignment horizontal="center" vertical="center"/>
    </xf>
    <xf numFmtId="177" fontId="12" fillId="8" borderId="24" xfId="0" applyNumberFormat="1" applyFont="1" applyFill="1" applyBorder="1" applyAlignment="1">
      <alignment horizontal="center" vertical="center"/>
    </xf>
    <xf numFmtId="177" fontId="12" fillId="8" borderId="11" xfId="0" applyNumberFormat="1" applyFont="1" applyFill="1" applyBorder="1" applyAlignment="1">
      <alignment horizontal="center" vertical="center"/>
    </xf>
    <xf numFmtId="0" fontId="27" fillId="8" borderId="87" xfId="0" applyFont="1" applyFill="1" applyBorder="1" applyAlignment="1">
      <alignment horizontal="center" vertical="center"/>
    </xf>
    <xf numFmtId="0" fontId="8" fillId="0" borderId="77" xfId="2" applyFont="1" applyBorder="1" applyAlignment="1">
      <alignment horizontal="left" vertical="center"/>
    </xf>
    <xf numFmtId="0" fontId="8" fillId="0" borderId="77" xfId="2" applyFont="1" applyBorder="1" applyAlignment="1">
      <alignment horizontal="center" vertical="center"/>
    </xf>
    <xf numFmtId="0" fontId="8" fillId="0" borderId="67" xfId="2" applyFont="1" applyBorder="1" applyAlignment="1">
      <alignment horizontal="center" vertical="center"/>
    </xf>
    <xf numFmtId="0" fontId="0" fillId="0" borderId="46" xfId="0" applyBorder="1">
      <alignment vertical="center"/>
    </xf>
    <xf numFmtId="0" fontId="0" fillId="0" borderId="16" xfId="0" applyBorder="1" applyAlignment="1" applyProtection="1">
      <alignment horizontal="left" vertical="center"/>
      <protection locked="0"/>
    </xf>
    <xf numFmtId="5" fontId="2" fillId="0" borderId="0" xfId="2" applyNumberFormat="1"/>
    <xf numFmtId="5" fontId="2" fillId="0" borderId="0" xfId="2" applyNumberFormat="1" applyAlignment="1">
      <alignment horizontal="right"/>
    </xf>
    <xf numFmtId="0" fontId="31" fillId="0" borderId="0" xfId="0" applyFont="1">
      <alignment vertical="center"/>
    </xf>
    <xf numFmtId="0" fontId="0" fillId="0" borderId="40" xfId="0" applyBorder="1" applyAlignment="1">
      <alignment horizontal="center" vertical="center"/>
    </xf>
    <xf numFmtId="0" fontId="0" fillId="12" borderId="3" xfId="0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43" fillId="11" borderId="41" xfId="0" applyFont="1" applyFill="1" applyBorder="1" applyAlignment="1">
      <alignment horizontal="center" vertical="center"/>
    </xf>
    <xf numFmtId="0" fontId="43" fillId="11" borderId="52" xfId="0" applyFont="1" applyFill="1" applyBorder="1" applyAlignment="1">
      <alignment horizontal="center" vertical="center"/>
    </xf>
    <xf numFmtId="0" fontId="43" fillId="11" borderId="53" xfId="0" applyFont="1" applyFill="1" applyBorder="1" applyAlignment="1">
      <alignment horizontal="center" vertical="center"/>
    </xf>
    <xf numFmtId="0" fontId="10" fillId="2" borderId="41" xfId="2" applyFont="1" applyFill="1" applyBorder="1" applyAlignment="1">
      <alignment horizontal="center" vertical="center" shrinkToFit="1"/>
    </xf>
    <xf numFmtId="0" fontId="10" fillId="2" borderId="82" xfId="2" applyFont="1" applyFill="1" applyBorder="1" applyAlignment="1">
      <alignment horizontal="center" vertical="center" shrinkToFit="1"/>
    </xf>
    <xf numFmtId="177" fontId="12" fillId="0" borderId="23" xfId="3" applyNumberFormat="1" applyFont="1" applyBorder="1" applyAlignment="1">
      <alignment horizontal="center" vertical="center"/>
    </xf>
    <xf numFmtId="177" fontId="25" fillId="0" borderId="0" xfId="0" applyNumberFormat="1" applyFont="1" applyAlignment="1">
      <alignment vertical="center" wrapText="1"/>
    </xf>
    <xf numFmtId="177" fontId="0" fillId="0" borderId="0" xfId="0" applyNumberFormat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36" fillId="0" borderId="127" xfId="0" applyFont="1" applyBorder="1" applyAlignment="1">
      <alignment horizontal="center" vertical="center"/>
    </xf>
    <xf numFmtId="0" fontId="11" fillId="0" borderId="55" xfId="0" applyFont="1" applyBorder="1" applyAlignment="1">
      <alignment horizontal="center" vertical="center"/>
    </xf>
    <xf numFmtId="0" fontId="0" fillId="0" borderId="0" xfId="4" applyFont="1">
      <alignment vertical="center"/>
    </xf>
    <xf numFmtId="0" fontId="8" fillId="0" borderId="0" xfId="2" applyFont="1" applyAlignment="1">
      <alignment horizontal="center" vertical="center"/>
    </xf>
    <xf numFmtId="0" fontId="0" fillId="9" borderId="54" xfId="0" applyFill="1" applyBorder="1" applyAlignment="1">
      <alignment horizontal="center" vertical="center"/>
    </xf>
    <xf numFmtId="49" fontId="0" fillId="4" borderId="17" xfId="0" applyNumberFormat="1" applyFill="1" applyBorder="1">
      <alignment vertical="center"/>
    </xf>
    <xf numFmtId="49" fontId="0" fillId="4" borderId="119" xfId="0" applyNumberFormat="1" applyFill="1" applyBorder="1">
      <alignment vertical="center"/>
    </xf>
    <xf numFmtId="0" fontId="0" fillId="4" borderId="20" xfId="0" applyFill="1" applyBorder="1">
      <alignment vertical="center"/>
    </xf>
    <xf numFmtId="0" fontId="0" fillId="5" borderId="20" xfId="0" applyFill="1" applyBorder="1">
      <alignment vertical="center"/>
    </xf>
    <xf numFmtId="0" fontId="0" fillId="5" borderId="17" xfId="0" applyFill="1" applyBorder="1">
      <alignment vertical="center"/>
    </xf>
    <xf numFmtId="0" fontId="0" fillId="4" borderId="21" xfId="0" applyFill="1" applyBorder="1">
      <alignment vertical="center"/>
    </xf>
    <xf numFmtId="0" fontId="0" fillId="4" borderId="22" xfId="0" applyFill="1" applyBorder="1" applyAlignment="1">
      <alignment horizontal="center" vertical="center"/>
    </xf>
    <xf numFmtId="0" fontId="0" fillId="5" borderId="22" xfId="0" applyFill="1" applyBorder="1" applyAlignment="1">
      <alignment horizontal="center" vertical="center"/>
    </xf>
    <xf numFmtId="0" fontId="0" fillId="5" borderId="30" xfId="0" applyFill="1" applyBorder="1" applyAlignment="1">
      <alignment horizontal="center" vertical="center"/>
    </xf>
    <xf numFmtId="0" fontId="0" fillId="4" borderId="35" xfId="0" applyFill="1" applyBorder="1" applyAlignment="1">
      <alignment horizontal="center" vertical="center"/>
    </xf>
    <xf numFmtId="0" fontId="0" fillId="4" borderId="16" xfId="0" applyFill="1" applyBorder="1">
      <alignment vertical="center"/>
    </xf>
    <xf numFmtId="0" fontId="0" fillId="5" borderId="16" xfId="0" applyFill="1" applyBorder="1">
      <alignment vertical="center"/>
    </xf>
    <xf numFmtId="0" fontId="0" fillId="5" borderId="5" xfId="0" applyFill="1" applyBorder="1">
      <alignment vertical="center"/>
    </xf>
    <xf numFmtId="0" fontId="0" fillId="4" borderId="18" xfId="0" applyFill="1" applyBorder="1">
      <alignment vertical="center"/>
    </xf>
    <xf numFmtId="0" fontId="0" fillId="4" borderId="65" xfId="0" applyFill="1" applyBorder="1">
      <alignment vertical="center"/>
    </xf>
    <xf numFmtId="0" fontId="0" fillId="4" borderId="97" xfId="0" applyFill="1" applyBorder="1">
      <alignment vertical="center"/>
    </xf>
    <xf numFmtId="0" fontId="0" fillId="0" borderId="87" xfId="0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4" borderId="0" xfId="0" applyFill="1">
      <alignment vertical="center"/>
    </xf>
    <xf numFmtId="0" fontId="41" fillId="0" borderId="0" xfId="0" applyFont="1" applyAlignment="1">
      <alignment horizontal="center" vertical="center" shrinkToFit="1"/>
    </xf>
    <xf numFmtId="38" fontId="21" fillId="0" borderId="0" xfId="1" applyBorder="1">
      <alignment vertical="center"/>
    </xf>
    <xf numFmtId="0" fontId="0" fillId="12" borderId="79" xfId="0" applyFill="1" applyBorder="1" applyAlignment="1">
      <alignment horizontal="center" vertical="center"/>
    </xf>
    <xf numFmtId="0" fontId="0" fillId="12" borderId="43" xfId="0" applyFill="1" applyBorder="1" applyAlignment="1">
      <alignment horizontal="center" vertical="center"/>
    </xf>
    <xf numFmtId="0" fontId="0" fillId="12" borderId="41" xfId="0" applyFill="1" applyBorder="1" applyAlignment="1">
      <alignment horizontal="center" vertical="center"/>
    </xf>
    <xf numFmtId="0" fontId="0" fillId="12" borderId="52" xfId="0" applyFill="1" applyBorder="1" applyAlignment="1">
      <alignment horizontal="center" vertical="center"/>
    </xf>
    <xf numFmtId="177" fontId="0" fillId="0" borderId="36" xfId="0" applyNumberFormat="1" applyBorder="1" applyAlignment="1">
      <alignment horizontal="center" vertical="center"/>
    </xf>
    <xf numFmtId="0" fontId="0" fillId="4" borderId="30" xfId="0" applyFill="1" applyBorder="1" applyAlignment="1">
      <alignment horizontal="center" vertical="center"/>
    </xf>
    <xf numFmtId="14" fontId="0" fillId="0" borderId="132" xfId="0" applyNumberFormat="1" applyBorder="1">
      <alignment vertical="center"/>
    </xf>
    <xf numFmtId="0" fontId="0" fillId="4" borderId="133" xfId="0" applyFill="1" applyBorder="1">
      <alignment vertical="center"/>
    </xf>
    <xf numFmtId="0" fontId="0" fillId="0" borderId="22" xfId="0" applyBorder="1" applyAlignment="1">
      <alignment horizontal="center" vertical="center"/>
    </xf>
    <xf numFmtId="0" fontId="0" fillId="0" borderId="16" xfId="0" applyBorder="1">
      <alignment vertical="center"/>
    </xf>
    <xf numFmtId="0" fontId="0" fillId="0" borderId="33" xfId="0" applyBorder="1">
      <alignment vertical="center"/>
    </xf>
    <xf numFmtId="0" fontId="0" fillId="0" borderId="32" xfId="0" applyBorder="1">
      <alignment vertical="center"/>
    </xf>
    <xf numFmtId="14" fontId="0" fillId="0" borderId="134" xfId="0" applyNumberFormat="1" applyBorder="1">
      <alignment vertical="center"/>
    </xf>
    <xf numFmtId="0" fontId="0" fillId="4" borderId="135" xfId="0" applyFill="1" applyBorder="1">
      <alignment vertical="center"/>
    </xf>
    <xf numFmtId="0" fontId="0" fillId="0" borderId="136" xfId="0" applyBorder="1" applyAlignment="1">
      <alignment horizontal="center" vertical="center"/>
    </xf>
    <xf numFmtId="0" fontId="0" fillId="4" borderId="137" xfId="0" applyFill="1" applyBorder="1" applyAlignment="1">
      <alignment horizontal="center" vertical="center"/>
    </xf>
    <xf numFmtId="14" fontId="0" fillId="0" borderId="138" xfId="0" applyNumberFormat="1" applyBorder="1">
      <alignment vertical="center"/>
    </xf>
    <xf numFmtId="0" fontId="0" fillId="4" borderId="139" xfId="0" applyFill="1" applyBorder="1">
      <alignment vertical="center"/>
    </xf>
    <xf numFmtId="14" fontId="0" fillId="0" borderId="140" xfId="0" applyNumberFormat="1" applyBorder="1">
      <alignment vertical="center"/>
    </xf>
    <xf numFmtId="0" fontId="0" fillId="4" borderId="141" xfId="0" applyFill="1" applyBorder="1">
      <alignment vertical="center"/>
    </xf>
    <xf numFmtId="0" fontId="0" fillId="0" borderId="142" xfId="0" applyBorder="1">
      <alignment vertical="center"/>
    </xf>
    <xf numFmtId="0" fontId="0" fillId="4" borderId="143" xfId="0" applyFill="1" applyBorder="1">
      <alignment vertical="center"/>
    </xf>
    <xf numFmtId="0" fontId="0" fillId="9" borderId="0" xfId="0" applyFill="1">
      <alignment vertical="center"/>
    </xf>
    <xf numFmtId="14" fontId="0" fillId="0" borderId="131" xfId="0" applyNumberFormat="1" applyBorder="1">
      <alignment vertical="center"/>
    </xf>
    <xf numFmtId="49" fontId="0" fillId="13" borderId="32" xfId="0" applyNumberFormat="1" applyFill="1" applyBorder="1" applyAlignment="1" applyProtection="1">
      <alignment horizontal="center" vertical="center"/>
      <protection locked="0"/>
    </xf>
    <xf numFmtId="49" fontId="0" fillId="13" borderId="16" xfId="0" applyNumberFormat="1" applyFill="1" applyBorder="1" applyAlignment="1" applyProtection="1">
      <alignment horizontal="center" vertical="center"/>
      <protection locked="0"/>
    </xf>
    <xf numFmtId="49" fontId="0" fillId="13" borderId="57" xfId="0" applyNumberFormat="1" applyFill="1" applyBorder="1" applyAlignment="1" applyProtection="1">
      <alignment horizontal="center" vertical="center"/>
      <protection locked="0"/>
    </xf>
    <xf numFmtId="49" fontId="0" fillId="13" borderId="46" xfId="0" applyNumberFormat="1" applyFill="1" applyBorder="1" applyAlignment="1" applyProtection="1">
      <alignment horizontal="center" vertical="center"/>
      <protection locked="0"/>
    </xf>
    <xf numFmtId="176" fontId="0" fillId="13" borderId="46" xfId="0" applyNumberFormat="1" applyFill="1" applyBorder="1" applyAlignment="1" applyProtection="1">
      <alignment horizontal="center" vertical="center"/>
      <protection locked="0"/>
    </xf>
    <xf numFmtId="176" fontId="0" fillId="13" borderId="47" xfId="0" applyNumberFormat="1" applyFill="1" applyBorder="1" applyAlignment="1" applyProtection="1">
      <alignment horizontal="center" vertical="center"/>
      <protection locked="0"/>
    </xf>
    <xf numFmtId="49" fontId="0" fillId="13" borderId="38" xfId="0" applyNumberFormat="1" applyFill="1" applyBorder="1" applyAlignment="1" applyProtection="1">
      <alignment horizontal="center" vertical="center"/>
      <protection locked="0"/>
    </xf>
    <xf numFmtId="49" fontId="0" fillId="13" borderId="90" xfId="0" applyNumberFormat="1" applyFill="1" applyBorder="1" applyAlignment="1" applyProtection="1">
      <alignment horizontal="center" vertical="center"/>
      <protection locked="0"/>
    </xf>
    <xf numFmtId="0" fontId="0" fillId="14" borderId="46" xfId="0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177" fontId="0" fillId="4" borderId="135" xfId="0" applyNumberFormat="1" applyFill="1" applyBorder="1">
      <alignment vertical="center"/>
    </xf>
    <xf numFmtId="177" fontId="0" fillId="4" borderId="137" xfId="0" applyNumberFormat="1" applyFill="1" applyBorder="1" applyAlignment="1">
      <alignment horizontal="center" vertical="center"/>
    </xf>
    <xf numFmtId="177" fontId="0" fillId="4" borderId="139" xfId="0" applyNumberFormat="1" applyFill="1" applyBorder="1">
      <alignment vertical="center"/>
    </xf>
    <xf numFmtId="177" fontId="0" fillId="4" borderId="141" xfId="0" applyNumberFormat="1" applyFill="1" applyBorder="1">
      <alignment vertical="center"/>
    </xf>
    <xf numFmtId="0" fontId="23" fillId="5" borderId="93" xfId="0" applyFont="1" applyFill="1" applyBorder="1" applyAlignment="1">
      <alignment horizontal="center" vertical="center" shrinkToFit="1"/>
    </xf>
    <xf numFmtId="0" fontId="12" fillId="5" borderId="11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 vertical="center"/>
    </xf>
    <xf numFmtId="0" fontId="12" fillId="5" borderId="37" xfId="0" applyFont="1" applyFill="1" applyBorder="1" applyAlignment="1">
      <alignment horizontal="center" vertical="center"/>
    </xf>
    <xf numFmtId="0" fontId="12" fillId="5" borderId="40" xfId="0" applyFont="1" applyFill="1" applyBorder="1" applyAlignment="1">
      <alignment horizontal="center" vertical="center"/>
    </xf>
    <xf numFmtId="0" fontId="12" fillId="5" borderId="25" xfId="0" applyFont="1" applyFill="1" applyBorder="1" applyAlignment="1">
      <alignment horizontal="center" vertical="center"/>
    </xf>
    <xf numFmtId="176" fontId="39" fillId="5" borderId="25" xfId="0" applyNumberFormat="1" applyFont="1" applyFill="1" applyBorder="1" applyAlignment="1">
      <alignment horizontal="center" vertical="center"/>
    </xf>
    <xf numFmtId="0" fontId="12" fillId="5" borderId="25" xfId="0" applyFont="1" applyFill="1" applyBorder="1" applyAlignment="1">
      <alignment horizontal="center" vertical="center" shrinkToFit="1"/>
    </xf>
    <xf numFmtId="0" fontId="0" fillId="5" borderId="15" xfId="0" applyFill="1" applyBorder="1" applyAlignment="1">
      <alignment horizontal="center" vertical="center"/>
    </xf>
    <xf numFmtId="176" fontId="0" fillId="5" borderId="32" xfId="0" applyNumberFormat="1" applyFill="1" applyBorder="1" applyAlignment="1">
      <alignment horizontal="center" vertical="center"/>
    </xf>
    <xf numFmtId="176" fontId="0" fillId="5" borderId="38" xfId="0" applyNumberFormat="1" applyFill="1" applyBorder="1" applyAlignment="1">
      <alignment horizontal="center" vertical="center"/>
    </xf>
    <xf numFmtId="0" fontId="0" fillId="5" borderId="88" xfId="0" applyFill="1" applyBorder="1" applyAlignment="1">
      <alignment horizontal="center" vertical="center"/>
    </xf>
    <xf numFmtId="176" fontId="0" fillId="5" borderId="15" xfId="0" applyNumberFormat="1" applyFill="1" applyBorder="1" applyAlignment="1">
      <alignment horizontal="center" vertical="center"/>
    </xf>
    <xf numFmtId="176" fontId="0" fillId="5" borderId="16" xfId="0" applyNumberFormat="1" applyFill="1" applyBorder="1" applyAlignment="1">
      <alignment horizontal="center" vertical="center"/>
    </xf>
    <xf numFmtId="176" fontId="0" fillId="5" borderId="74" xfId="0" applyNumberFormat="1" applyFill="1" applyBorder="1" applyAlignment="1">
      <alignment horizontal="center" vertical="center"/>
    </xf>
    <xf numFmtId="49" fontId="0" fillId="5" borderId="38" xfId="0" applyNumberFormat="1" applyFill="1" applyBorder="1" applyAlignment="1">
      <alignment horizontal="center" vertical="center"/>
    </xf>
    <xf numFmtId="0" fontId="0" fillId="5" borderId="52" xfId="0" applyFill="1" applyBorder="1" applyAlignment="1">
      <alignment horizontal="center" vertical="center"/>
    </xf>
    <xf numFmtId="176" fontId="0" fillId="5" borderId="46" xfId="0" applyNumberFormat="1" applyFill="1" applyBorder="1" applyAlignment="1">
      <alignment horizontal="center" vertical="center"/>
    </xf>
    <xf numFmtId="176" fontId="0" fillId="5" borderId="33" xfId="0" applyNumberFormat="1" applyFill="1" applyBorder="1" applyAlignment="1">
      <alignment horizontal="center" vertical="center"/>
    </xf>
    <xf numFmtId="176" fontId="0" fillId="5" borderId="39" xfId="0" applyNumberFormat="1" applyFill="1" applyBorder="1" applyAlignment="1">
      <alignment horizontal="center" vertical="center"/>
    </xf>
    <xf numFmtId="0" fontId="0" fillId="5" borderId="29" xfId="0" applyFill="1" applyBorder="1" applyAlignment="1">
      <alignment horizontal="center" vertical="center"/>
    </xf>
    <xf numFmtId="176" fontId="0" fillId="5" borderId="19" xfId="0" applyNumberFormat="1" applyFill="1" applyBorder="1" applyAlignment="1">
      <alignment horizontal="center" vertical="center"/>
    </xf>
    <xf numFmtId="176" fontId="0" fillId="5" borderId="20" xfId="0" applyNumberFormat="1" applyFill="1" applyBorder="1" applyAlignment="1">
      <alignment horizontal="center" vertical="center"/>
    </xf>
    <xf numFmtId="176" fontId="0" fillId="5" borderId="49" xfId="0" applyNumberFormat="1" applyFill="1" applyBorder="1" applyAlignment="1">
      <alignment horizontal="center" vertical="center"/>
    </xf>
    <xf numFmtId="49" fontId="0" fillId="5" borderId="39" xfId="0" applyNumberFormat="1" applyFill="1" applyBorder="1" applyAlignment="1">
      <alignment horizontal="center" vertical="center"/>
    </xf>
    <xf numFmtId="0" fontId="0" fillId="5" borderId="58" xfId="0" applyFill="1" applyBorder="1" applyAlignment="1">
      <alignment horizontal="center" vertical="center"/>
    </xf>
    <xf numFmtId="176" fontId="0" fillId="5" borderId="60" xfId="0" applyNumberFormat="1" applyFill="1" applyBorder="1" applyAlignment="1">
      <alignment horizontal="center" vertical="center"/>
    </xf>
    <xf numFmtId="176" fontId="0" fillId="5" borderId="63" xfId="0" applyNumberFormat="1" applyFill="1" applyBorder="1" applyAlignment="1">
      <alignment horizontal="center" vertical="center"/>
    </xf>
    <xf numFmtId="0" fontId="0" fillId="5" borderId="130" xfId="0" applyFill="1" applyBorder="1" applyAlignment="1">
      <alignment horizontal="center" vertical="center"/>
    </xf>
    <xf numFmtId="176" fontId="0" fillId="5" borderId="58" xfId="0" applyNumberFormat="1" applyFill="1" applyBorder="1" applyAlignment="1">
      <alignment horizontal="center" vertical="center"/>
    </xf>
    <xf numFmtId="176" fontId="0" fillId="5" borderId="59" xfId="0" applyNumberFormat="1" applyFill="1" applyBorder="1" applyAlignment="1">
      <alignment horizontal="center" vertical="center"/>
    </xf>
    <xf numFmtId="176" fontId="0" fillId="5" borderId="73" xfId="0" applyNumberFormat="1" applyFill="1" applyBorder="1" applyAlignment="1">
      <alignment horizontal="center" vertical="center"/>
    </xf>
    <xf numFmtId="49" fontId="0" fillId="5" borderId="63" xfId="0" applyNumberFormat="1" applyFill="1" applyBorder="1" applyAlignment="1">
      <alignment horizontal="center" vertical="center"/>
    </xf>
    <xf numFmtId="177" fontId="24" fillId="5" borderId="69" xfId="0" applyNumberFormat="1" applyFont="1" applyFill="1" applyBorder="1" applyAlignment="1">
      <alignment horizontal="center" vertical="center"/>
    </xf>
    <xf numFmtId="177" fontId="24" fillId="5" borderId="66" xfId="0" applyNumberFormat="1" applyFont="1" applyFill="1" applyBorder="1" applyAlignment="1">
      <alignment horizontal="center" vertical="center"/>
    </xf>
    <xf numFmtId="0" fontId="12" fillId="15" borderId="11" xfId="0" applyFont="1" applyFill="1" applyBorder="1" applyAlignment="1">
      <alignment horizontal="center" vertical="center" shrinkToFit="1"/>
    </xf>
    <xf numFmtId="14" fontId="0" fillId="0" borderId="136" xfId="0" applyNumberFormat="1" applyBorder="1">
      <alignment vertical="center"/>
    </xf>
    <xf numFmtId="0" fontId="0" fillId="4" borderId="137" xfId="0" applyFill="1" applyBorder="1">
      <alignment vertical="center"/>
    </xf>
    <xf numFmtId="14" fontId="0" fillId="0" borderId="142" xfId="0" applyNumberFormat="1" applyBorder="1">
      <alignment vertical="center"/>
    </xf>
    <xf numFmtId="0" fontId="0" fillId="0" borderId="35" xfId="0" applyBorder="1">
      <alignment vertical="center"/>
    </xf>
    <xf numFmtId="0" fontId="0" fillId="0" borderId="21" xfId="0" applyBorder="1">
      <alignment vertical="center"/>
    </xf>
    <xf numFmtId="0" fontId="0" fillId="0" borderId="35" xfId="0" applyBorder="1" applyAlignment="1">
      <alignment horizontal="center" vertical="center"/>
    </xf>
    <xf numFmtId="0" fontId="0" fillId="0" borderId="18" xfId="0" applyBorder="1">
      <alignment vertical="center"/>
    </xf>
    <xf numFmtId="0" fontId="0" fillId="5" borderId="87" xfId="0" applyFill="1" applyBorder="1">
      <alignment vertical="center"/>
    </xf>
    <xf numFmtId="0" fontId="0" fillId="5" borderId="33" xfId="0" applyFill="1" applyBorder="1">
      <alignment vertical="center"/>
    </xf>
    <xf numFmtId="0" fontId="0" fillId="5" borderId="87" xfId="0" applyFill="1" applyBorder="1" applyAlignment="1">
      <alignment horizontal="center" vertical="center"/>
    </xf>
    <xf numFmtId="0" fontId="0" fillId="5" borderId="32" xfId="0" applyFill="1" applyBorder="1">
      <alignment vertical="center"/>
    </xf>
    <xf numFmtId="0" fontId="0" fillId="0" borderId="0" xfId="3" applyFont="1" applyAlignment="1">
      <alignment horizontal="center" vertical="center"/>
    </xf>
    <xf numFmtId="0" fontId="29" fillId="4" borderId="1" xfId="0" applyFont="1" applyFill="1" applyBorder="1">
      <alignment vertical="center"/>
    </xf>
    <xf numFmtId="49" fontId="0" fillId="14" borderId="0" xfId="0" applyNumberFormat="1" applyFill="1">
      <alignment vertical="center"/>
    </xf>
    <xf numFmtId="0" fontId="25" fillId="8" borderId="0" xfId="0" applyFont="1" applyFill="1" applyAlignment="1">
      <alignment horizontal="center" vertical="center"/>
    </xf>
    <xf numFmtId="0" fontId="29" fillId="4" borderId="0" xfId="0" applyFont="1" applyFill="1" applyAlignment="1">
      <alignment horizontal="center" vertical="center"/>
    </xf>
    <xf numFmtId="0" fontId="29" fillId="8" borderId="29" xfId="0" applyFont="1" applyFill="1" applyBorder="1">
      <alignment vertical="center"/>
    </xf>
    <xf numFmtId="0" fontId="29" fillId="8" borderId="0" xfId="0" applyFont="1" applyFill="1">
      <alignment vertical="center"/>
    </xf>
    <xf numFmtId="0" fontId="46" fillId="4" borderId="70" xfId="0" applyFont="1" applyFill="1" applyBorder="1" applyAlignment="1">
      <alignment horizontal="center" vertical="center"/>
    </xf>
    <xf numFmtId="0" fontId="9" fillId="2" borderId="53" xfId="2" applyFont="1" applyFill="1" applyBorder="1" applyAlignment="1">
      <alignment horizontal="center" vertical="center" shrinkToFit="1"/>
    </xf>
    <xf numFmtId="0" fontId="43" fillId="0" borderId="0" xfId="0" applyFont="1">
      <alignment vertical="center"/>
    </xf>
    <xf numFmtId="0" fontId="43" fillId="11" borderId="79" xfId="0" applyFont="1" applyFill="1" applyBorder="1" applyAlignment="1">
      <alignment horizontal="center" vertical="center"/>
    </xf>
    <xf numFmtId="0" fontId="17" fillId="0" borderId="0" xfId="2" applyFont="1" applyAlignment="1">
      <alignment horizontal="center" vertical="center"/>
    </xf>
    <xf numFmtId="0" fontId="2" fillId="0" borderId="0" xfId="2" applyAlignment="1">
      <alignment horizontal="center"/>
    </xf>
    <xf numFmtId="3" fontId="2" fillId="0" borderId="0" xfId="2" applyNumberFormat="1"/>
    <xf numFmtId="5" fontId="2" fillId="0" borderId="0" xfId="2" applyNumberFormat="1" applyAlignment="1">
      <alignment horizontal="center"/>
    </xf>
    <xf numFmtId="5" fontId="2" fillId="0" borderId="0" xfId="2" applyNumberFormat="1" applyAlignment="1">
      <alignment horizontal="center" vertical="center"/>
    </xf>
    <xf numFmtId="0" fontId="0" fillId="13" borderId="18" xfId="0" applyFill="1" applyBorder="1" applyAlignment="1" applyProtection="1">
      <alignment horizontal="left" vertical="center" shrinkToFit="1"/>
      <protection locked="0"/>
    </xf>
    <xf numFmtId="0" fontId="0" fillId="0" borderId="0" xfId="0" applyAlignment="1">
      <alignment horizontal="left" vertical="center"/>
    </xf>
    <xf numFmtId="38" fontId="21" fillId="0" borderId="0" xfId="1" applyAlignment="1">
      <alignment horizontal="center" vertical="center"/>
    </xf>
    <xf numFmtId="0" fontId="29" fillId="8" borderId="46" xfId="0" applyFont="1" applyFill="1" applyBorder="1" applyAlignment="1">
      <alignment horizontal="center" vertical="center"/>
    </xf>
    <xf numFmtId="0" fontId="2" fillId="0" borderId="46" xfId="2" applyBorder="1" applyAlignment="1">
      <alignment horizontal="center"/>
    </xf>
    <xf numFmtId="0" fontId="0" fillId="0" borderId="6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9" fillId="2" borderId="52" xfId="2" applyFont="1" applyFill="1" applyBorder="1" applyAlignment="1">
      <alignment horizontal="center" vertical="center" shrinkToFit="1"/>
    </xf>
    <xf numFmtId="0" fontId="9" fillId="2" borderId="41" xfId="2" applyFont="1" applyFill="1" applyBorder="1" applyAlignment="1">
      <alignment horizontal="center" vertical="center" shrinkToFit="1"/>
    </xf>
    <xf numFmtId="0" fontId="0" fillId="9" borderId="161" xfId="0" applyFill="1" applyBorder="1">
      <alignment vertical="center"/>
    </xf>
    <xf numFmtId="38" fontId="0" fillId="0" borderId="162" xfId="1" applyFont="1" applyBorder="1">
      <alignment vertical="center"/>
    </xf>
    <xf numFmtId="0" fontId="0" fillId="9" borderId="163" xfId="0" applyFill="1" applyBorder="1">
      <alignment vertical="center"/>
    </xf>
    <xf numFmtId="0" fontId="0" fillId="9" borderId="166" xfId="0" applyFill="1" applyBorder="1">
      <alignment vertical="center"/>
    </xf>
    <xf numFmtId="0" fontId="0" fillId="0" borderId="167" xfId="0" applyBorder="1">
      <alignment vertical="center"/>
    </xf>
    <xf numFmtId="0" fontId="0" fillId="9" borderId="168" xfId="0" applyFill="1" applyBorder="1">
      <alignment vertical="center"/>
    </xf>
    <xf numFmtId="0" fontId="0" fillId="9" borderId="173" xfId="0" applyFill="1" applyBorder="1">
      <alignment vertical="center"/>
    </xf>
    <xf numFmtId="38" fontId="0" fillId="0" borderId="16" xfId="1" applyFont="1" applyBorder="1">
      <alignment vertical="center"/>
    </xf>
    <xf numFmtId="0" fontId="0" fillId="0" borderId="56" xfId="0" applyBorder="1">
      <alignment vertical="center"/>
    </xf>
    <xf numFmtId="0" fontId="0" fillId="0" borderId="174" xfId="0" applyBorder="1">
      <alignment vertical="center"/>
    </xf>
    <xf numFmtId="0" fontId="0" fillId="0" borderId="175" xfId="0" applyBorder="1">
      <alignment vertical="center"/>
    </xf>
    <xf numFmtId="38" fontId="0" fillId="0" borderId="176" xfId="1" applyFont="1" applyBorder="1" applyAlignment="1">
      <alignment vertical="center" shrinkToFit="1"/>
    </xf>
    <xf numFmtId="0" fontId="0" fillId="0" borderId="176" xfId="0" applyBorder="1" applyAlignment="1">
      <alignment vertical="center" shrinkToFit="1"/>
    </xf>
    <xf numFmtId="0" fontId="0" fillId="0" borderId="177" xfId="0" applyBorder="1" applyAlignment="1">
      <alignment vertical="center" shrinkToFit="1"/>
    </xf>
    <xf numFmtId="14" fontId="0" fillId="0" borderId="165" xfId="0" applyNumberFormat="1" applyBorder="1">
      <alignment vertical="center"/>
    </xf>
    <xf numFmtId="0" fontId="0" fillId="13" borderId="88" xfId="0" applyFill="1" applyBorder="1" applyAlignment="1" applyProtection="1">
      <alignment horizontal="center" vertical="center"/>
      <protection locked="0"/>
    </xf>
    <xf numFmtId="0" fontId="39" fillId="13" borderId="32" xfId="0" applyFont="1" applyFill="1" applyBorder="1" applyAlignment="1">
      <alignment horizontal="center" vertical="center" shrinkToFit="1"/>
    </xf>
    <xf numFmtId="0" fontId="39" fillId="15" borderId="32" xfId="0" applyFont="1" applyFill="1" applyBorder="1" applyAlignment="1">
      <alignment horizontal="center" vertical="center" shrinkToFit="1"/>
    </xf>
    <xf numFmtId="0" fontId="39" fillId="15" borderId="87" xfId="0" applyFont="1" applyFill="1" applyBorder="1" applyAlignment="1">
      <alignment horizontal="center" vertical="center" shrinkToFit="1"/>
    </xf>
    <xf numFmtId="0" fontId="39" fillId="15" borderId="60" xfId="0" applyFont="1" applyFill="1" applyBorder="1" applyAlignment="1">
      <alignment horizontal="center" vertical="center" shrinkToFit="1"/>
    </xf>
    <xf numFmtId="49" fontId="39" fillId="0" borderId="0" xfId="0" applyNumberFormat="1" applyFont="1" applyAlignment="1">
      <alignment vertical="center" shrinkToFit="1"/>
    </xf>
    <xf numFmtId="38" fontId="21" fillId="4" borderId="41" xfId="1" applyFill="1" applyBorder="1" applyAlignment="1">
      <alignment horizontal="right" vertical="center"/>
    </xf>
    <xf numFmtId="38" fontId="21" fillId="4" borderId="42" xfId="1" applyFill="1" applyBorder="1" applyAlignment="1">
      <alignment horizontal="right" vertical="center"/>
    </xf>
    <xf numFmtId="38" fontId="21" fillId="4" borderId="43" xfId="1" applyFill="1" applyBorder="1" applyAlignment="1">
      <alignment horizontal="right" vertical="center"/>
    </xf>
    <xf numFmtId="38" fontId="21" fillId="4" borderId="53" xfId="1" applyFill="1" applyBorder="1" applyAlignment="1">
      <alignment horizontal="right" vertical="center"/>
    </xf>
    <xf numFmtId="0" fontId="0" fillId="0" borderId="0" xfId="4" applyFont="1" applyAlignment="1">
      <alignment horizontal="left" vertical="center"/>
    </xf>
    <xf numFmtId="49" fontId="0" fillId="0" borderId="0" xfId="0" applyNumberFormat="1" applyAlignment="1">
      <alignment vertical="center" shrinkToFit="1"/>
    </xf>
    <xf numFmtId="176" fontId="41" fillId="0" borderId="0" xfId="0" applyNumberFormat="1" applyFont="1" applyAlignment="1">
      <alignment vertical="center" shrinkToFit="1"/>
    </xf>
    <xf numFmtId="0" fontId="26" fillId="15" borderId="77" xfId="0" applyFont="1" applyFill="1" applyBorder="1" applyAlignment="1">
      <alignment vertical="center" shrinkToFit="1"/>
    </xf>
    <xf numFmtId="0" fontId="26" fillId="15" borderId="67" xfId="0" applyFont="1" applyFill="1" applyBorder="1" applyAlignment="1">
      <alignment vertical="center" shrinkToFit="1"/>
    </xf>
    <xf numFmtId="0" fontId="39" fillId="15" borderId="10" xfId="0" applyFont="1" applyFill="1" applyBorder="1" applyAlignment="1">
      <alignment horizontal="center" vertical="center" shrinkToFit="1"/>
    </xf>
    <xf numFmtId="0" fontId="12" fillId="15" borderId="12" xfId="0" applyFont="1" applyFill="1" applyBorder="1" applyAlignment="1">
      <alignment horizontal="center" vertical="center" shrinkToFit="1"/>
    </xf>
    <xf numFmtId="0" fontId="0" fillId="15" borderId="144" xfId="0" applyFill="1" applyBorder="1" applyAlignment="1">
      <alignment horizontal="center" vertical="center" shrinkToFit="1"/>
    </xf>
    <xf numFmtId="0" fontId="0" fillId="15" borderId="148" xfId="0" applyFill="1" applyBorder="1" applyAlignment="1">
      <alignment horizontal="center" vertical="center" shrinkToFit="1"/>
    </xf>
    <xf numFmtId="0" fontId="0" fillId="15" borderId="50" xfId="0" applyFill="1" applyBorder="1" applyAlignment="1">
      <alignment horizontal="center" vertical="center" shrinkToFit="1"/>
    </xf>
    <xf numFmtId="49" fontId="0" fillId="15" borderId="152" xfId="0" applyNumberFormat="1" applyFill="1" applyBorder="1" applyAlignment="1">
      <alignment horizontal="center" vertical="center" shrinkToFit="1"/>
    </xf>
    <xf numFmtId="49" fontId="39" fillId="15" borderId="154" xfId="0" applyNumberFormat="1" applyFont="1" applyFill="1" applyBorder="1" applyAlignment="1">
      <alignment horizontal="center" vertical="center" shrinkToFit="1"/>
    </xf>
    <xf numFmtId="49" fontId="0" fillId="15" borderId="18" xfId="0" applyNumberFormat="1" applyFill="1" applyBorder="1" applyAlignment="1">
      <alignment horizontal="center" vertical="center" shrinkToFit="1"/>
    </xf>
    <xf numFmtId="0" fontId="0" fillId="15" borderId="150" xfId="0" applyFill="1" applyBorder="1" applyAlignment="1">
      <alignment horizontal="center" vertical="center" shrinkToFit="1"/>
    </xf>
    <xf numFmtId="0" fontId="0" fillId="15" borderId="30" xfId="0" applyFill="1" applyBorder="1" applyAlignment="1">
      <alignment horizontal="center" vertical="center" shrinkToFit="1"/>
    </xf>
    <xf numFmtId="49" fontId="39" fillId="15" borderId="0" xfId="0" applyNumberFormat="1" applyFont="1" applyFill="1" applyAlignment="1">
      <alignment horizontal="center" vertical="center" shrinkToFit="1"/>
    </xf>
    <xf numFmtId="49" fontId="0" fillId="15" borderId="35" xfId="0" applyNumberFormat="1" applyFill="1" applyBorder="1" applyAlignment="1">
      <alignment horizontal="center" vertical="center" shrinkToFit="1"/>
    </xf>
    <xf numFmtId="49" fontId="0" fillId="15" borderId="151" xfId="0" applyNumberFormat="1" applyFill="1" applyBorder="1" applyAlignment="1">
      <alignment horizontal="center" vertical="center" shrinkToFit="1"/>
    </xf>
    <xf numFmtId="49" fontId="0" fillId="15" borderId="17" xfId="0" applyNumberFormat="1" applyFill="1" applyBorder="1" applyAlignment="1">
      <alignment horizontal="center" vertical="center" shrinkToFit="1"/>
    </xf>
    <xf numFmtId="49" fontId="39" fillId="15" borderId="49" xfId="0" applyNumberFormat="1" applyFont="1" applyFill="1" applyBorder="1" applyAlignment="1">
      <alignment horizontal="center" vertical="center" shrinkToFit="1"/>
    </xf>
    <xf numFmtId="49" fontId="0" fillId="15" borderId="21" xfId="0" applyNumberFormat="1" applyFill="1" applyBorder="1" applyAlignment="1">
      <alignment horizontal="center" vertical="center" shrinkToFit="1"/>
    </xf>
    <xf numFmtId="0" fontId="0" fillId="15" borderId="145" xfId="0" applyFill="1" applyBorder="1" applyAlignment="1">
      <alignment horizontal="center" vertical="center" shrinkToFit="1"/>
    </xf>
    <xf numFmtId="49" fontId="0" fillId="15" borderId="147" xfId="0" applyNumberFormat="1" applyFill="1" applyBorder="1" applyAlignment="1">
      <alignment horizontal="center" vertical="center" shrinkToFit="1"/>
    </xf>
    <xf numFmtId="49" fontId="0" fillId="15" borderId="45" xfId="0" applyNumberFormat="1" applyFill="1" applyBorder="1" applyAlignment="1">
      <alignment horizontal="center" vertical="center" shrinkToFit="1"/>
    </xf>
    <xf numFmtId="0" fontId="0" fillId="15" borderId="146" xfId="0" applyFill="1" applyBorder="1" applyAlignment="1">
      <alignment horizontal="center" vertical="center" shrinkToFit="1"/>
    </xf>
    <xf numFmtId="0" fontId="0" fillId="15" borderId="149" xfId="0" applyFill="1" applyBorder="1" applyAlignment="1">
      <alignment horizontal="center" vertical="center" shrinkToFit="1"/>
    </xf>
    <xf numFmtId="49" fontId="0" fillId="15" borderId="149" xfId="0" applyNumberFormat="1" applyFill="1" applyBorder="1" applyAlignment="1">
      <alignment horizontal="center" vertical="center" shrinkToFit="1"/>
    </xf>
    <xf numFmtId="0" fontId="0" fillId="15" borderId="44" xfId="0" applyFill="1" applyBorder="1" applyAlignment="1">
      <alignment horizontal="center" vertical="center" shrinkToFit="1"/>
    </xf>
    <xf numFmtId="49" fontId="0" fillId="15" borderId="153" xfId="0" applyNumberFormat="1" applyFill="1" applyBorder="1" applyAlignment="1">
      <alignment horizontal="center" vertical="center" shrinkToFit="1"/>
    </xf>
    <xf numFmtId="49" fontId="39" fillId="15" borderId="73" xfId="0" applyNumberFormat="1" applyFont="1" applyFill="1" applyBorder="1" applyAlignment="1">
      <alignment horizontal="center" vertical="center" shrinkToFit="1"/>
    </xf>
    <xf numFmtId="49" fontId="0" fillId="15" borderId="61" xfId="0" applyNumberFormat="1" applyFill="1" applyBorder="1" applyAlignment="1">
      <alignment horizontal="center" vertical="center" shrinkToFit="1"/>
    </xf>
    <xf numFmtId="0" fontId="24" fillId="15" borderId="69" xfId="0" applyFont="1" applyFill="1" applyBorder="1" applyAlignment="1">
      <alignment horizontal="center" vertical="center" shrinkToFit="1"/>
    </xf>
    <xf numFmtId="177" fontId="24" fillId="15" borderId="7" xfId="0" applyNumberFormat="1" applyFont="1" applyFill="1" applyBorder="1" applyAlignment="1">
      <alignment horizontal="center" vertical="center" shrinkToFit="1"/>
    </xf>
    <xf numFmtId="0" fontId="0" fillId="13" borderId="144" xfId="0" applyFill="1" applyBorder="1" applyAlignment="1" applyProtection="1">
      <alignment horizontal="center" vertical="center" shrinkToFit="1"/>
      <protection locked="0"/>
    </xf>
    <xf numFmtId="0" fontId="0" fillId="13" borderId="148" xfId="0" applyFill="1" applyBorder="1" applyAlignment="1" applyProtection="1">
      <alignment horizontal="center" vertical="center" shrinkToFit="1"/>
      <protection locked="0"/>
    </xf>
    <xf numFmtId="49" fontId="0" fillId="13" borderId="8" xfId="0" applyNumberFormat="1" applyFill="1" applyBorder="1" applyAlignment="1" applyProtection="1">
      <alignment horizontal="center" vertical="center" shrinkToFit="1"/>
      <protection locked="0"/>
    </xf>
    <xf numFmtId="49" fontId="0" fillId="13" borderId="46" xfId="0" applyNumberFormat="1" applyFill="1" applyBorder="1" applyAlignment="1" applyProtection="1">
      <alignment horizontal="center" vertical="center" shrinkToFit="1"/>
      <protection locked="0"/>
    </xf>
    <xf numFmtId="49" fontId="0" fillId="13" borderId="16" xfId="0" applyNumberFormat="1" applyFill="1" applyBorder="1" applyAlignment="1" applyProtection="1">
      <alignment horizontal="center" vertical="center" shrinkToFit="1"/>
      <protection locked="0"/>
    </xf>
    <xf numFmtId="49" fontId="0" fillId="13" borderId="3" xfId="0" applyNumberFormat="1" applyFill="1" applyBorder="1" applyAlignment="1" applyProtection="1">
      <alignment horizontal="center" vertical="center" shrinkToFit="1"/>
      <protection locked="0"/>
    </xf>
    <xf numFmtId="0" fontId="0" fillId="0" borderId="0" xfId="0" applyAlignment="1">
      <alignment vertical="center" shrinkToFit="1"/>
    </xf>
    <xf numFmtId="0" fontId="39" fillId="0" borderId="0" xfId="0" applyFont="1" applyAlignment="1">
      <alignment vertical="center" shrinkToFit="1"/>
    </xf>
    <xf numFmtId="178" fontId="0" fillId="12" borderId="78" xfId="0" applyNumberFormat="1" applyFill="1" applyBorder="1" applyAlignment="1" applyProtection="1">
      <alignment horizontal="center" vertical="center"/>
      <protection locked="0"/>
    </xf>
    <xf numFmtId="178" fontId="0" fillId="12" borderId="15" xfId="0" applyNumberFormat="1" applyFill="1" applyBorder="1" applyAlignment="1" applyProtection="1">
      <alignment horizontal="center" vertical="center"/>
      <protection locked="0"/>
    </xf>
    <xf numFmtId="0" fontId="30" fillId="0" borderId="40" xfId="3" applyFont="1" applyBorder="1" applyAlignment="1">
      <alignment horizontal="center" vertical="center"/>
    </xf>
    <xf numFmtId="178" fontId="0" fillId="16" borderId="13" xfId="0" applyNumberFormat="1" applyFill="1" applyBorder="1" applyAlignment="1">
      <alignment horizontal="center" vertical="center"/>
    </xf>
    <xf numFmtId="0" fontId="0" fillId="16" borderId="46" xfId="0" applyFill="1" applyBorder="1" applyAlignment="1">
      <alignment horizontal="center" vertical="center"/>
    </xf>
    <xf numFmtId="0" fontId="21" fillId="0" borderId="3" xfId="3" applyBorder="1" applyAlignment="1">
      <alignment horizontal="center" vertical="center"/>
    </xf>
    <xf numFmtId="0" fontId="0" fillId="16" borderId="180" xfId="0" applyFill="1" applyBorder="1" applyAlignment="1">
      <alignment horizontal="center" vertical="center"/>
    </xf>
    <xf numFmtId="0" fontId="0" fillId="16" borderId="148" xfId="0" applyFill="1" applyBorder="1" applyAlignment="1">
      <alignment horizontal="center" vertical="center"/>
    </xf>
    <xf numFmtId="0" fontId="0" fillId="12" borderId="148" xfId="0" applyFill="1" applyBorder="1" applyAlignment="1" applyProtection="1">
      <alignment horizontal="center" vertical="center" shrinkToFit="1"/>
      <protection locked="0"/>
    </xf>
    <xf numFmtId="0" fontId="0" fillId="12" borderId="180" xfId="0" applyFill="1" applyBorder="1" applyAlignment="1" applyProtection="1">
      <alignment horizontal="center" vertical="center" shrinkToFit="1"/>
      <protection locked="0"/>
    </xf>
    <xf numFmtId="0" fontId="0" fillId="12" borderId="46" xfId="0" applyFill="1" applyBorder="1" applyAlignment="1" applyProtection="1">
      <alignment horizontal="center" vertical="center" shrinkToFit="1"/>
      <protection locked="0"/>
    </xf>
    <xf numFmtId="0" fontId="0" fillId="12" borderId="178" xfId="0" applyFill="1" applyBorder="1" applyAlignment="1" applyProtection="1">
      <alignment horizontal="center" vertical="center" shrinkToFit="1"/>
      <protection locked="0"/>
    </xf>
    <xf numFmtId="0" fontId="0" fillId="12" borderId="47" xfId="0" applyFill="1" applyBorder="1" applyAlignment="1" applyProtection="1">
      <alignment horizontal="center" vertical="center" shrinkToFit="1"/>
      <protection locked="0"/>
    </xf>
    <xf numFmtId="0" fontId="10" fillId="0" borderId="1" xfId="2" applyFont="1" applyBorder="1" applyAlignment="1">
      <alignment horizontal="left"/>
    </xf>
    <xf numFmtId="0" fontId="2" fillId="13" borderId="0" xfId="2" applyFill="1" applyProtection="1">
      <protection locked="0"/>
    </xf>
    <xf numFmtId="0" fontId="30" fillId="13" borderId="19" xfId="4" applyFont="1" applyFill="1" applyBorder="1" applyAlignment="1">
      <alignment horizontal="center" vertical="center" wrapText="1"/>
    </xf>
    <xf numFmtId="0" fontId="8" fillId="13" borderId="70" xfId="2" applyFont="1" applyFill="1" applyBorder="1" applyAlignment="1">
      <alignment horizontal="center" vertical="center"/>
    </xf>
    <xf numFmtId="0" fontId="30" fillId="0" borderId="58" xfId="4" applyFont="1" applyBorder="1" applyAlignment="1">
      <alignment horizontal="center" vertical="center" wrapText="1"/>
    </xf>
    <xf numFmtId="0" fontId="8" fillId="0" borderId="68" xfId="2" applyFont="1" applyBorder="1" applyAlignment="1">
      <alignment horizontal="center" vertical="center"/>
    </xf>
    <xf numFmtId="0" fontId="48" fillId="13" borderId="0" xfId="2" applyFont="1" applyFill="1" applyAlignment="1">
      <alignment horizontal="center" vertical="center"/>
    </xf>
    <xf numFmtId="0" fontId="48" fillId="13" borderId="70" xfId="2" applyFont="1" applyFill="1" applyBorder="1" applyAlignment="1">
      <alignment horizontal="center" vertical="center"/>
    </xf>
    <xf numFmtId="0" fontId="0" fillId="13" borderId="0" xfId="0" applyFill="1">
      <alignment vertical="center"/>
    </xf>
    <xf numFmtId="178" fontId="0" fillId="13" borderId="78" xfId="0" applyNumberFormat="1" applyFill="1" applyBorder="1" applyAlignment="1" applyProtection="1">
      <alignment horizontal="center" vertical="center"/>
      <protection locked="0"/>
    </xf>
    <xf numFmtId="0" fontId="0" fillId="13" borderId="178" xfId="0" applyFill="1" applyBorder="1" applyAlignment="1" applyProtection="1">
      <alignment horizontal="center" vertical="center" shrinkToFit="1"/>
      <protection locked="0"/>
    </xf>
    <xf numFmtId="0" fontId="0" fillId="13" borderId="47" xfId="0" applyFill="1" applyBorder="1" applyAlignment="1" applyProtection="1">
      <alignment horizontal="center" vertical="center" shrinkToFit="1"/>
      <protection locked="0"/>
    </xf>
    <xf numFmtId="178" fontId="0" fillId="13" borderId="58" xfId="0" applyNumberFormat="1" applyFill="1" applyBorder="1" applyAlignment="1" applyProtection="1">
      <alignment horizontal="center" vertical="center"/>
      <protection locked="0"/>
    </xf>
    <xf numFmtId="0" fontId="0" fillId="13" borderId="149" xfId="0" applyFill="1" applyBorder="1" applyAlignment="1" applyProtection="1">
      <alignment horizontal="center" vertical="center" shrinkToFit="1"/>
      <protection locked="0"/>
    </xf>
    <xf numFmtId="0" fontId="0" fillId="13" borderId="179" xfId="0" applyFill="1" applyBorder="1" applyAlignment="1" applyProtection="1">
      <alignment horizontal="center" vertical="center" shrinkToFit="1"/>
      <protection locked="0"/>
    </xf>
    <xf numFmtId="0" fontId="0" fillId="13" borderId="73" xfId="0" applyFill="1" applyBorder="1" applyAlignment="1" applyProtection="1">
      <alignment horizontal="center" vertical="center" shrinkToFit="1"/>
      <protection locked="0"/>
    </xf>
    <xf numFmtId="0" fontId="22" fillId="0" borderId="0" xfId="4" applyFont="1">
      <alignment vertical="center"/>
    </xf>
    <xf numFmtId="0" fontId="40" fillId="0" borderId="0" xfId="4" applyFont="1">
      <alignment vertical="center"/>
    </xf>
    <xf numFmtId="38" fontId="22" fillId="0" borderId="164" xfId="1" applyFont="1" applyBorder="1">
      <alignment vertical="center"/>
    </xf>
    <xf numFmtId="0" fontId="22" fillId="0" borderId="167" xfId="0" applyFont="1" applyBorder="1">
      <alignment vertical="center"/>
    </xf>
    <xf numFmtId="0" fontId="22" fillId="0" borderId="172" xfId="0" applyFont="1" applyBorder="1">
      <alignment vertical="center"/>
    </xf>
    <xf numFmtId="176" fontId="41" fillId="0" borderId="1" xfId="0" applyNumberFormat="1" applyFont="1" applyBorder="1">
      <alignment vertical="center"/>
    </xf>
    <xf numFmtId="176" fontId="41" fillId="0" borderId="1" xfId="0" applyNumberFormat="1" applyFont="1" applyBorder="1" applyAlignment="1">
      <alignment vertical="center" shrinkToFit="1"/>
    </xf>
    <xf numFmtId="0" fontId="26" fillId="5" borderId="57" xfId="0" applyFont="1" applyFill="1" applyBorder="1">
      <alignment vertical="center"/>
    </xf>
    <xf numFmtId="0" fontId="26" fillId="5" borderId="83" xfId="0" applyFont="1" applyFill="1" applyBorder="1">
      <alignment vertical="center"/>
    </xf>
    <xf numFmtId="0" fontId="25" fillId="15" borderId="101" xfId="0" applyFont="1" applyFill="1" applyBorder="1" applyAlignment="1">
      <alignment horizontal="center" vertical="center" wrapText="1"/>
    </xf>
    <xf numFmtId="0" fontId="12" fillId="15" borderId="182" xfId="0" applyFont="1" applyFill="1" applyBorder="1" applyAlignment="1">
      <alignment horizontal="center" vertical="center" shrinkToFit="1"/>
    </xf>
    <xf numFmtId="0" fontId="12" fillId="15" borderId="183" xfId="0" applyFont="1" applyFill="1" applyBorder="1" applyAlignment="1">
      <alignment horizontal="center" vertical="center" shrinkToFit="1"/>
    </xf>
    <xf numFmtId="0" fontId="0" fillId="15" borderId="88" xfId="0" applyFill="1" applyBorder="1" applyAlignment="1">
      <alignment horizontal="center" vertical="center"/>
    </xf>
    <xf numFmtId="49" fontId="0" fillId="15" borderId="33" xfId="0" applyNumberFormat="1" applyFill="1" applyBorder="1" applyAlignment="1">
      <alignment horizontal="center" vertical="center" shrinkToFit="1"/>
    </xf>
    <xf numFmtId="49" fontId="0" fillId="15" borderId="32" xfId="0" applyNumberFormat="1" applyFill="1" applyBorder="1" applyAlignment="1">
      <alignment horizontal="center" vertical="center" shrinkToFit="1"/>
    </xf>
    <xf numFmtId="0" fontId="0" fillId="15" borderId="52" xfId="0" applyFill="1" applyBorder="1" applyAlignment="1">
      <alignment horizontal="center" vertical="center"/>
    </xf>
    <xf numFmtId="49" fontId="0" fillId="15" borderId="87" xfId="0" applyNumberFormat="1" applyFill="1" applyBorder="1" applyAlignment="1">
      <alignment horizontal="center" vertical="center" shrinkToFit="1"/>
    </xf>
    <xf numFmtId="0" fontId="0" fillId="15" borderId="29" xfId="0" applyFill="1" applyBorder="1" applyAlignment="1">
      <alignment horizontal="center" vertical="center"/>
    </xf>
    <xf numFmtId="0" fontId="0" fillId="15" borderId="130" xfId="0" applyFill="1" applyBorder="1" applyAlignment="1">
      <alignment horizontal="center" vertical="center"/>
    </xf>
    <xf numFmtId="49" fontId="0" fillId="15" borderId="60" xfId="0" applyNumberFormat="1" applyFill="1" applyBorder="1" applyAlignment="1">
      <alignment horizontal="center" vertical="center" shrinkToFit="1"/>
    </xf>
    <xf numFmtId="49" fontId="23" fillId="15" borderId="69" xfId="0" applyNumberFormat="1" applyFont="1" applyFill="1" applyBorder="1" applyAlignment="1">
      <alignment vertical="center" shrinkToFit="1"/>
    </xf>
    <xf numFmtId="49" fontId="23" fillId="15" borderId="66" xfId="0" applyNumberFormat="1" applyFont="1" applyFill="1" applyBorder="1" applyAlignment="1">
      <alignment vertical="center" shrinkToFit="1"/>
    </xf>
    <xf numFmtId="0" fontId="0" fillId="13" borderId="32" xfId="0" applyFill="1" applyBorder="1" applyAlignment="1" applyProtection="1">
      <alignment horizontal="left" vertical="center" shrinkToFit="1"/>
      <protection locked="0"/>
    </xf>
    <xf numFmtId="0" fontId="0" fillId="13" borderId="94" xfId="0" applyFill="1" applyBorder="1" applyAlignment="1" applyProtection="1">
      <alignment horizontal="center" vertical="center"/>
      <protection locked="0"/>
    </xf>
    <xf numFmtId="49" fontId="0" fillId="13" borderId="65" xfId="0" applyNumberFormat="1" applyFill="1" applyBorder="1" applyAlignment="1" applyProtection="1">
      <alignment horizontal="center" vertical="center" shrinkToFit="1"/>
      <protection locked="0"/>
    </xf>
    <xf numFmtId="49" fontId="0" fillId="13" borderId="1" xfId="0" applyNumberFormat="1" applyFill="1" applyBorder="1" applyAlignment="1" applyProtection="1">
      <alignment horizontal="center" vertical="center" shrinkToFit="1"/>
      <protection locked="0"/>
    </xf>
    <xf numFmtId="0" fontId="12" fillId="9" borderId="25" xfId="0" applyFont="1" applyFill="1" applyBorder="1" applyAlignment="1">
      <alignment horizontal="center" vertical="center"/>
    </xf>
    <xf numFmtId="0" fontId="13" fillId="0" borderId="0" xfId="2" applyFont="1" applyAlignment="1">
      <alignment vertical="center"/>
    </xf>
    <xf numFmtId="0" fontId="2" fillId="0" borderId="1" xfId="2" applyBorder="1" applyAlignment="1">
      <alignment horizontal="left"/>
    </xf>
    <xf numFmtId="0" fontId="0" fillId="0" borderId="120" xfId="0" applyBorder="1">
      <alignment vertical="center"/>
    </xf>
    <xf numFmtId="0" fontId="17" fillId="0" borderId="94" xfId="2" applyFont="1" applyBorder="1" applyAlignment="1">
      <alignment vertical="center"/>
    </xf>
    <xf numFmtId="0" fontId="17" fillId="0" borderId="66" xfId="2" applyFont="1" applyBorder="1" applyAlignment="1">
      <alignment vertical="center"/>
    </xf>
    <xf numFmtId="0" fontId="0" fillId="0" borderId="105" xfId="0" applyBorder="1" applyAlignment="1">
      <alignment horizontal="center" vertical="center"/>
    </xf>
    <xf numFmtId="0" fontId="0" fillId="0" borderId="106" xfId="0" applyBorder="1" applyAlignment="1">
      <alignment horizontal="center" vertical="center"/>
    </xf>
    <xf numFmtId="0" fontId="17" fillId="0" borderId="29" xfId="2" applyFont="1" applyBorder="1" applyAlignment="1">
      <alignment vertical="center"/>
    </xf>
    <xf numFmtId="0" fontId="17" fillId="0" borderId="87" xfId="2" applyFont="1" applyBorder="1" applyAlignment="1">
      <alignment vertical="center"/>
    </xf>
    <xf numFmtId="0" fontId="42" fillId="0" borderId="0" xfId="2" applyFont="1" applyAlignment="1">
      <alignment vertical="center"/>
    </xf>
    <xf numFmtId="38" fontId="0" fillId="0" borderId="0" xfId="0" applyNumberFormat="1" applyAlignment="1">
      <alignment horizontal="center" vertical="center"/>
    </xf>
    <xf numFmtId="0" fontId="27" fillId="0" borderId="16" xfId="0" applyFont="1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49" fontId="0" fillId="13" borderId="47" xfId="0" applyNumberFormat="1" applyFill="1" applyBorder="1" applyAlignment="1" applyProtection="1">
      <alignment horizontal="center" vertical="center" shrinkToFit="1"/>
      <protection locked="0"/>
    </xf>
    <xf numFmtId="0" fontId="9" fillId="2" borderId="207" xfId="2" applyFont="1" applyFill="1" applyBorder="1" applyAlignment="1">
      <alignment horizontal="center" vertical="center" shrinkToFit="1"/>
    </xf>
    <xf numFmtId="49" fontId="0" fillId="12" borderId="87" xfId="0" applyNumberFormat="1" applyFill="1" applyBorder="1" applyAlignment="1">
      <alignment horizontal="center" vertical="center" shrinkToFit="1"/>
    </xf>
    <xf numFmtId="49" fontId="0" fillId="12" borderId="3" xfId="0" applyNumberFormat="1" applyFill="1" applyBorder="1" applyAlignment="1">
      <alignment horizontal="center" vertical="center" shrinkToFit="1"/>
    </xf>
    <xf numFmtId="49" fontId="0" fillId="12" borderId="33" xfId="0" applyNumberFormat="1" applyFill="1" applyBorder="1" applyAlignment="1">
      <alignment horizontal="center" vertical="center" shrinkToFit="1"/>
    </xf>
    <xf numFmtId="49" fontId="0" fillId="12" borderId="60" xfId="0" applyNumberFormat="1" applyFill="1" applyBorder="1" applyAlignment="1">
      <alignment horizontal="center" vertical="center" shrinkToFit="1"/>
    </xf>
    <xf numFmtId="0" fontId="30" fillId="0" borderId="3" xfId="4" applyFont="1" applyBorder="1" applyAlignment="1">
      <alignment horizontal="center" vertical="center"/>
    </xf>
    <xf numFmtId="0" fontId="39" fillId="12" borderId="9" xfId="0" applyFont="1" applyFill="1" applyBorder="1" applyAlignment="1">
      <alignment horizontal="center" vertical="center" shrinkToFit="1"/>
    </xf>
    <xf numFmtId="49" fontId="0" fillId="12" borderId="34" xfId="0" applyNumberFormat="1" applyFill="1" applyBorder="1" applyAlignment="1">
      <alignment horizontal="center" vertical="center" shrinkToFit="1"/>
    </xf>
    <xf numFmtId="49" fontId="0" fillId="12" borderId="70" xfId="0" applyNumberFormat="1" applyFill="1" applyBorder="1" applyAlignment="1">
      <alignment horizontal="center" vertical="center" shrinkToFit="1"/>
    </xf>
    <xf numFmtId="49" fontId="0" fillId="12" borderId="78" xfId="0" applyNumberFormat="1" applyFill="1" applyBorder="1" applyAlignment="1">
      <alignment horizontal="center" vertical="center" shrinkToFit="1"/>
    </xf>
    <xf numFmtId="49" fontId="0" fillId="12" borderId="86" xfId="0" applyNumberFormat="1" applyFill="1" applyBorder="1" applyAlignment="1">
      <alignment horizontal="center" vertical="center" shrinkToFit="1"/>
    </xf>
    <xf numFmtId="49" fontId="0" fillId="12" borderId="19" xfId="0" applyNumberFormat="1" applyFill="1" applyBorder="1" applyAlignment="1">
      <alignment horizontal="center" vertical="center" shrinkToFit="1"/>
    </xf>
    <xf numFmtId="49" fontId="0" fillId="12" borderId="39" xfId="0" applyNumberFormat="1" applyFill="1" applyBorder="1" applyAlignment="1">
      <alignment horizontal="center" vertical="center" shrinkToFit="1"/>
    </xf>
    <xf numFmtId="49" fontId="0" fillId="12" borderId="58" xfId="0" applyNumberFormat="1" applyFill="1" applyBorder="1" applyAlignment="1">
      <alignment horizontal="center" vertical="center" shrinkToFit="1"/>
    </xf>
    <xf numFmtId="49" fontId="0" fillId="12" borderId="63" xfId="0" applyNumberFormat="1" applyFill="1" applyBorder="1" applyAlignment="1">
      <alignment horizontal="center" vertical="center" shrinkToFit="1"/>
    </xf>
    <xf numFmtId="49" fontId="0" fillId="13" borderId="78" xfId="0" applyNumberFormat="1" applyFill="1" applyBorder="1" applyAlignment="1" applyProtection="1">
      <alignment horizontal="center" vertical="center" shrinkToFit="1"/>
      <protection locked="0"/>
    </xf>
    <xf numFmtId="49" fontId="0" fillId="13" borderId="18" xfId="0" applyNumberFormat="1" applyFill="1" applyBorder="1" applyAlignment="1" applyProtection="1">
      <alignment horizontal="center" vertical="center" shrinkToFit="1"/>
      <protection locked="0"/>
    </xf>
    <xf numFmtId="49" fontId="0" fillId="13" borderId="86" xfId="0" applyNumberFormat="1" applyFill="1" applyBorder="1" applyAlignment="1" applyProtection="1">
      <alignment horizontal="center" vertical="center" shrinkToFit="1"/>
      <protection locked="0"/>
    </xf>
    <xf numFmtId="49" fontId="0" fillId="13" borderId="59" xfId="0" applyNumberFormat="1" applyFill="1" applyBorder="1" applyAlignment="1" applyProtection="1">
      <alignment horizontal="center" vertical="center" shrinkToFit="1"/>
      <protection locked="0"/>
    </xf>
    <xf numFmtId="49" fontId="0" fillId="13" borderId="61" xfId="0" applyNumberFormat="1" applyFill="1" applyBorder="1" applyAlignment="1" applyProtection="1">
      <alignment horizontal="center" vertical="center" shrinkToFit="1"/>
      <protection locked="0"/>
    </xf>
    <xf numFmtId="38" fontId="36" fillId="0" borderId="164" xfId="1" applyFont="1" applyBorder="1">
      <alignment vertical="center"/>
    </xf>
    <xf numFmtId="38" fontId="2" fillId="0" borderId="46" xfId="2" applyNumberFormat="1" applyBorder="1" applyAlignment="1">
      <alignment horizontal="center"/>
    </xf>
    <xf numFmtId="38" fontId="2" fillId="0" borderId="47" xfId="2" applyNumberFormat="1" applyBorder="1" applyAlignment="1">
      <alignment horizontal="center"/>
    </xf>
    <xf numFmtId="38" fontId="21" fillId="0" borderId="72" xfId="1" applyBorder="1">
      <alignment vertical="center"/>
    </xf>
    <xf numFmtId="38" fontId="40" fillId="0" borderId="0" xfId="0" applyNumberFormat="1" applyFont="1">
      <alignment vertical="center"/>
    </xf>
    <xf numFmtId="0" fontId="0" fillId="12" borderId="3" xfId="0" applyFill="1" applyBorder="1">
      <alignment vertical="center"/>
    </xf>
    <xf numFmtId="177" fontId="0" fillId="12" borderId="3" xfId="0" applyNumberFormat="1" applyFill="1" applyBorder="1">
      <alignment vertical="center"/>
    </xf>
    <xf numFmtId="0" fontId="24" fillId="0" borderId="77" xfId="0" applyFont="1" applyBorder="1">
      <alignment vertical="center"/>
    </xf>
    <xf numFmtId="0" fontId="0" fillId="0" borderId="77" xfId="0" applyBorder="1">
      <alignment vertical="center"/>
    </xf>
    <xf numFmtId="0" fontId="0" fillId="0" borderId="77" xfId="0" applyBorder="1" applyAlignment="1">
      <alignment horizontal="center" vertical="center"/>
    </xf>
    <xf numFmtId="0" fontId="9" fillId="2" borderId="82" xfId="2" applyFont="1" applyFill="1" applyBorder="1" applyAlignment="1">
      <alignment horizontal="center" vertical="center" shrinkToFit="1"/>
    </xf>
    <xf numFmtId="0" fontId="30" fillId="9" borderId="0" xfId="4" applyFont="1" applyFill="1" applyAlignment="1">
      <alignment horizontal="left" vertical="center"/>
    </xf>
    <xf numFmtId="0" fontId="8" fillId="9" borderId="0" xfId="2" applyFont="1" applyFill="1" applyAlignment="1" applyProtection="1">
      <alignment vertical="center"/>
      <protection locked="0"/>
    </xf>
    <xf numFmtId="0" fontId="2" fillId="9" borderId="0" xfId="2" applyFill="1" applyAlignment="1" applyProtection="1">
      <alignment horizontal="center"/>
      <protection locked="0"/>
    </xf>
    <xf numFmtId="179" fontId="2" fillId="0" borderId="0" xfId="2" applyNumberFormat="1" applyAlignment="1" applyProtection="1">
      <alignment horizontal="center"/>
      <protection locked="0"/>
    </xf>
    <xf numFmtId="0" fontId="2" fillId="0" borderId="0" xfId="2" applyAlignment="1" applyProtection="1">
      <alignment horizontal="left"/>
      <protection locked="0"/>
    </xf>
    <xf numFmtId="49" fontId="2" fillId="0" borderId="0" xfId="2" applyNumberFormat="1" applyAlignment="1" applyProtection="1">
      <alignment horizontal="center"/>
      <protection locked="0"/>
    </xf>
    <xf numFmtId="180" fontId="2" fillId="0" borderId="0" xfId="2" applyNumberFormat="1" applyAlignment="1" applyProtection="1">
      <alignment horizontal="center"/>
      <protection locked="0"/>
    </xf>
    <xf numFmtId="56" fontId="2" fillId="0" borderId="0" xfId="2" applyNumberFormat="1" applyProtection="1">
      <protection locked="0"/>
    </xf>
    <xf numFmtId="0" fontId="29" fillId="0" borderId="105" xfId="4" applyFont="1" applyBorder="1" applyAlignment="1">
      <alignment horizontal="right" vertical="center"/>
    </xf>
    <xf numFmtId="0" fontId="17" fillId="0" borderId="0" xfId="2" applyFont="1" applyAlignment="1">
      <alignment vertical="center"/>
    </xf>
    <xf numFmtId="14" fontId="0" fillId="0" borderId="0" xfId="0" applyNumberFormat="1">
      <alignment vertical="center"/>
    </xf>
    <xf numFmtId="0" fontId="22" fillId="0" borderId="0" xfId="0" applyFont="1">
      <alignment vertical="center"/>
    </xf>
    <xf numFmtId="0" fontId="16" fillId="0" borderId="0" xfId="2" applyFont="1" applyAlignment="1">
      <alignment vertical="center"/>
    </xf>
    <xf numFmtId="49" fontId="0" fillId="13" borderId="210" xfId="0" applyNumberFormat="1" applyFill="1" applyBorder="1" applyAlignment="1" applyProtection="1">
      <alignment horizontal="center" vertical="center" shrinkToFit="1"/>
      <protection locked="0"/>
    </xf>
    <xf numFmtId="49" fontId="0" fillId="13" borderId="178" xfId="0" applyNumberFormat="1" applyFill="1" applyBorder="1" applyAlignment="1" applyProtection="1">
      <alignment horizontal="center" vertical="center" shrinkToFit="1"/>
      <protection locked="0"/>
    </xf>
    <xf numFmtId="0" fontId="2" fillId="0" borderId="0" xfId="2" applyAlignment="1">
      <alignment vertical="center" wrapText="1"/>
    </xf>
    <xf numFmtId="0" fontId="0" fillId="12" borderId="0" xfId="0" applyFill="1">
      <alignment vertical="center"/>
    </xf>
    <xf numFmtId="177" fontId="57" fillId="12" borderId="0" xfId="0" applyNumberFormat="1" applyFont="1" applyFill="1" applyAlignment="1">
      <alignment horizontal="center" vertical="center" wrapText="1"/>
    </xf>
    <xf numFmtId="0" fontId="43" fillId="0" borderId="77" xfId="0" applyFont="1" applyBorder="1">
      <alignment vertical="center"/>
    </xf>
    <xf numFmtId="0" fontId="17" fillId="0" borderId="77" xfId="2" applyFont="1" applyBorder="1" applyAlignment="1">
      <alignment vertical="center"/>
    </xf>
    <xf numFmtId="176" fontId="0" fillId="13" borderId="32" xfId="0" applyNumberFormat="1" applyFill="1" applyBorder="1" applyAlignment="1" applyProtection="1">
      <alignment horizontal="center" vertical="center"/>
      <protection locked="0"/>
    </xf>
    <xf numFmtId="176" fontId="0" fillId="13" borderId="38" xfId="0" applyNumberFormat="1" applyFill="1" applyBorder="1" applyAlignment="1" applyProtection="1">
      <alignment horizontal="center" vertical="center"/>
      <protection locked="0"/>
    </xf>
    <xf numFmtId="49" fontId="0" fillId="13" borderId="15" xfId="0" applyNumberFormat="1" applyFill="1" applyBorder="1" applyAlignment="1" applyProtection="1">
      <alignment horizontal="center" vertical="center"/>
      <protection locked="0"/>
    </xf>
    <xf numFmtId="0" fontId="0" fillId="9" borderId="212" xfId="0" applyFill="1" applyBorder="1">
      <alignment vertical="center"/>
    </xf>
    <xf numFmtId="38" fontId="0" fillId="0" borderId="133" xfId="1" applyFont="1" applyBorder="1">
      <alignment vertical="center"/>
    </xf>
    <xf numFmtId="38" fontId="2" fillId="0" borderId="46" xfId="1" applyFont="1" applyFill="1" applyBorder="1" applyAlignment="1"/>
    <xf numFmtId="0" fontId="8" fillId="0" borderId="0" xfId="2" applyFont="1" applyAlignment="1">
      <alignment vertical="center"/>
    </xf>
    <xf numFmtId="0" fontId="7" fillId="0" borderId="0" xfId="2" applyFont="1" applyAlignment="1">
      <alignment horizontal="center" vertical="center"/>
    </xf>
    <xf numFmtId="0" fontId="51" fillId="0" borderId="0" xfId="4" applyFont="1">
      <alignment vertical="center"/>
    </xf>
    <xf numFmtId="0" fontId="2" fillId="0" borderId="0" xfId="2" applyAlignment="1" applyProtection="1">
      <alignment vertical="center"/>
      <protection locked="0"/>
    </xf>
    <xf numFmtId="0" fontId="8" fillId="0" borderId="36" xfId="2" applyFont="1" applyBorder="1" applyAlignment="1">
      <alignment vertical="center"/>
    </xf>
    <xf numFmtId="0" fontId="39" fillId="12" borderId="26" xfId="0" applyFont="1" applyFill="1" applyBorder="1" applyAlignment="1">
      <alignment horizontal="center" vertical="center" shrinkToFit="1"/>
    </xf>
    <xf numFmtId="49" fontId="0" fillId="13" borderId="5" xfId="0" applyNumberFormat="1" applyFill="1" applyBorder="1" applyAlignment="1" applyProtection="1">
      <alignment horizontal="center" vertical="center" shrinkToFit="1"/>
      <protection locked="0"/>
    </xf>
    <xf numFmtId="0" fontId="39" fillId="12" borderId="84" xfId="0" applyFont="1" applyFill="1" applyBorder="1" applyAlignment="1">
      <alignment horizontal="center" vertical="center" shrinkToFit="1"/>
    </xf>
    <xf numFmtId="0" fontId="39" fillId="12" borderId="129" xfId="0" applyFont="1" applyFill="1" applyBorder="1" applyAlignment="1">
      <alignment vertical="center" shrinkToFit="1"/>
    </xf>
    <xf numFmtId="49" fontId="0" fillId="12" borderId="90" xfId="0" applyNumberFormat="1" applyFill="1" applyBorder="1" applyAlignment="1">
      <alignment horizontal="center" vertical="center" shrinkToFit="1"/>
    </xf>
    <xf numFmtId="49" fontId="0" fillId="12" borderId="214" xfId="0" applyNumberFormat="1" applyFill="1" applyBorder="1" applyAlignment="1">
      <alignment horizontal="center" vertical="center" shrinkToFit="1"/>
    </xf>
    <xf numFmtId="49" fontId="0" fillId="12" borderId="20" xfId="0" applyNumberFormat="1" applyFill="1" applyBorder="1" applyAlignment="1">
      <alignment horizontal="center" vertical="center" shrinkToFit="1"/>
    </xf>
    <xf numFmtId="49" fontId="0" fillId="12" borderId="59" xfId="0" applyNumberFormat="1" applyFill="1" applyBorder="1" applyAlignment="1">
      <alignment horizontal="center" vertical="center" shrinkToFit="1"/>
    </xf>
    <xf numFmtId="3" fontId="30" fillId="0" borderId="3" xfId="4" applyNumberFormat="1" applyFont="1" applyBorder="1" applyAlignment="1">
      <alignment horizontal="center" vertical="center"/>
    </xf>
    <xf numFmtId="3" fontId="8" fillId="0" borderId="3" xfId="2" applyNumberFormat="1" applyFont="1" applyBorder="1" applyAlignment="1" applyProtection="1">
      <alignment horizontal="center" vertical="center"/>
      <protection locked="0"/>
    </xf>
    <xf numFmtId="3" fontId="8" fillId="0" borderId="3" xfId="2" applyNumberFormat="1" applyFont="1" applyBorder="1" applyAlignment="1">
      <alignment vertical="center"/>
    </xf>
    <xf numFmtId="3" fontId="30" fillId="0" borderId="3" xfId="4" applyNumberFormat="1" applyFont="1" applyBorder="1" applyAlignment="1">
      <alignment horizontal="left" vertical="center"/>
    </xf>
    <xf numFmtId="3" fontId="8" fillId="0" borderId="36" xfId="2" applyNumberFormat="1" applyFont="1" applyBorder="1" applyAlignment="1" applyProtection="1">
      <alignment vertical="center"/>
      <protection locked="0"/>
    </xf>
    <xf numFmtId="0" fontId="9" fillId="11" borderId="207" xfId="2" applyFont="1" applyFill="1" applyBorder="1" applyAlignment="1">
      <alignment horizontal="center" vertical="center" shrinkToFit="1"/>
    </xf>
    <xf numFmtId="0" fontId="26" fillId="0" borderId="0" xfId="0" applyFont="1" applyAlignment="1">
      <alignment horizontal="center" vertical="center"/>
    </xf>
    <xf numFmtId="0" fontId="9" fillId="0" borderId="0" xfId="2" applyFont="1" applyAlignment="1">
      <alignment horizontal="center" vertical="center" shrinkToFit="1"/>
    </xf>
    <xf numFmtId="0" fontId="7" fillId="0" borderId="0" xfId="2" applyFont="1" applyAlignment="1">
      <alignment vertical="center"/>
    </xf>
    <xf numFmtId="0" fontId="0" fillId="0" borderId="14" xfId="0" applyBorder="1" applyAlignment="1">
      <alignment horizontal="center" vertical="center"/>
    </xf>
    <xf numFmtId="0" fontId="9" fillId="11" borderId="52" xfId="2" applyFont="1" applyFill="1" applyBorder="1" applyAlignment="1">
      <alignment horizontal="center" vertical="center" shrinkToFit="1"/>
    </xf>
    <xf numFmtId="0" fontId="30" fillId="0" borderId="0" xfId="4" applyFont="1" applyAlignment="1">
      <alignment horizontal="center" vertical="center"/>
    </xf>
    <xf numFmtId="0" fontId="8" fillId="0" borderId="0" xfId="2" applyFont="1" applyAlignment="1" applyProtection="1">
      <alignment horizontal="center" vertical="center"/>
      <protection locked="0"/>
    </xf>
    <xf numFmtId="0" fontId="8" fillId="0" borderId="0" xfId="2" applyFont="1" applyAlignment="1" applyProtection="1">
      <alignment vertical="center"/>
      <protection locked="0"/>
    </xf>
    <xf numFmtId="0" fontId="2" fillId="0" borderId="47" xfId="2" applyBorder="1"/>
    <xf numFmtId="0" fontId="32" fillId="13" borderId="0" xfId="4" applyFont="1" applyFill="1" applyAlignment="1">
      <alignment horizontal="right" vertical="center"/>
    </xf>
    <xf numFmtId="0" fontId="0" fillId="13" borderId="0" xfId="4" applyFont="1" applyFill="1">
      <alignment vertical="center"/>
    </xf>
    <xf numFmtId="0" fontId="21" fillId="13" borderId="0" xfId="4" applyFill="1">
      <alignment vertical="center"/>
    </xf>
    <xf numFmtId="0" fontId="8" fillId="0" borderId="3" xfId="2" applyFont="1" applyBorder="1" applyAlignment="1" applyProtection="1">
      <alignment horizontal="center" vertical="center"/>
      <protection locked="0"/>
    </xf>
    <xf numFmtId="0" fontId="59" fillId="0" borderId="1" xfId="5" applyFont="1" applyBorder="1" applyAlignment="1" applyProtection="1">
      <alignment horizontal="center" vertical="center"/>
      <protection locked="0"/>
    </xf>
    <xf numFmtId="0" fontId="57" fillId="9" borderId="219" xfId="0" applyFont="1" applyFill="1" applyBorder="1">
      <alignment vertical="center"/>
    </xf>
    <xf numFmtId="0" fontId="0" fillId="0" borderId="220" xfId="0" applyBorder="1">
      <alignment vertical="center"/>
    </xf>
    <xf numFmtId="0" fontId="61" fillId="9" borderId="221" xfId="0" applyFont="1" applyFill="1" applyBorder="1">
      <alignment vertical="center"/>
    </xf>
    <xf numFmtId="0" fontId="0" fillId="0" borderId="222" xfId="0" applyBorder="1">
      <alignment vertical="center"/>
    </xf>
    <xf numFmtId="3" fontId="8" fillId="0" borderId="3" xfId="2" applyNumberFormat="1" applyFont="1" applyBorder="1" applyAlignment="1" applyProtection="1">
      <alignment vertical="center"/>
      <protection locked="0"/>
    </xf>
    <xf numFmtId="0" fontId="62" fillId="0" borderId="0" xfId="2" applyFont="1" applyAlignment="1">
      <alignment vertical="center"/>
    </xf>
    <xf numFmtId="0" fontId="63" fillId="0" borderId="0" xfId="2" applyFont="1" applyAlignment="1">
      <alignment horizontal="left" vertical="center" indent="2"/>
    </xf>
    <xf numFmtId="0" fontId="9" fillId="2" borderId="43" xfId="2" applyFont="1" applyFill="1" applyBorder="1" applyAlignment="1">
      <alignment horizontal="center" vertical="center" shrinkToFit="1"/>
    </xf>
    <xf numFmtId="0" fontId="62" fillId="0" borderId="0" xfId="2" applyFont="1"/>
    <xf numFmtId="3" fontId="2" fillId="0" borderId="47" xfId="2" applyNumberFormat="1" applyBorder="1" applyAlignment="1">
      <alignment horizontal="center"/>
    </xf>
    <xf numFmtId="0" fontId="11" fillId="0" borderId="29" xfId="0" applyFont="1" applyBorder="1">
      <alignment vertical="center"/>
    </xf>
    <xf numFmtId="0" fontId="11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9" fillId="0" borderId="29" xfId="2" applyFont="1" applyBorder="1" applyAlignment="1">
      <alignment vertical="center" shrinkToFit="1"/>
    </xf>
    <xf numFmtId="0" fontId="9" fillId="0" borderId="0" xfId="2" applyFont="1" applyAlignment="1">
      <alignment vertical="center" shrinkToFit="1"/>
    </xf>
    <xf numFmtId="0" fontId="0" fillId="0" borderId="1" xfId="0" applyBorder="1" applyAlignment="1">
      <alignment horizontal="center" vertical="center"/>
    </xf>
    <xf numFmtId="38" fontId="65" fillId="4" borderId="100" xfId="1" applyFont="1" applyFill="1" applyBorder="1" applyAlignment="1">
      <alignment horizontal="center" vertical="center" wrapText="1"/>
    </xf>
    <xf numFmtId="3" fontId="8" fillId="0" borderId="3" xfId="2" applyNumberFormat="1" applyFont="1" applyBorder="1" applyAlignment="1" applyProtection="1">
      <alignment horizontal="center" vertical="center"/>
      <protection locked="0"/>
    </xf>
    <xf numFmtId="0" fontId="0" fillId="13" borderId="45" xfId="0" applyFill="1" applyBorder="1" applyAlignment="1" applyProtection="1">
      <alignment horizontal="left" vertical="center" shrinkToFit="1"/>
      <protection locked="0"/>
    </xf>
    <xf numFmtId="0" fontId="0" fillId="13" borderId="47" xfId="0" applyFill="1" applyBorder="1" applyAlignment="1" applyProtection="1">
      <alignment horizontal="left" vertical="center" shrinkToFit="1"/>
      <protection locked="0"/>
    </xf>
    <xf numFmtId="0" fontId="0" fillId="13" borderId="90" xfId="0" applyFill="1" applyBorder="1" applyAlignment="1" applyProtection="1">
      <alignment horizontal="left" vertical="center" shrinkToFit="1"/>
      <protection locked="0"/>
    </xf>
    <xf numFmtId="0" fontId="0" fillId="13" borderId="44" xfId="0" applyFill="1" applyBorder="1" applyAlignment="1" applyProtection="1">
      <alignment horizontal="left" vertical="center" shrinkToFit="1"/>
      <protection locked="0"/>
    </xf>
    <xf numFmtId="0" fontId="0" fillId="13" borderId="73" xfId="0" applyFill="1" applyBorder="1" applyAlignment="1" applyProtection="1">
      <alignment horizontal="left" vertical="center" shrinkToFit="1"/>
      <protection locked="0"/>
    </xf>
    <xf numFmtId="0" fontId="0" fillId="13" borderId="63" xfId="0" applyFill="1" applyBorder="1" applyAlignment="1" applyProtection="1">
      <alignment horizontal="left" vertical="center" shrinkToFit="1"/>
      <protection locked="0"/>
    </xf>
    <xf numFmtId="0" fontId="0" fillId="13" borderId="3" xfId="0" applyFill="1" applyBorder="1" applyAlignment="1" applyProtection="1">
      <alignment horizontal="center" vertical="center" shrinkToFit="1"/>
      <protection locked="0"/>
    </xf>
    <xf numFmtId="0" fontId="0" fillId="13" borderId="45" xfId="0" applyFill="1" applyBorder="1" applyAlignment="1" applyProtection="1">
      <alignment horizontal="center" vertical="center" shrinkToFit="1"/>
      <protection locked="0"/>
    </xf>
    <xf numFmtId="0" fontId="0" fillId="13" borderId="36" xfId="0" applyFill="1" applyBorder="1" applyAlignment="1" applyProtection="1">
      <alignment horizontal="center" vertical="center" shrinkToFit="1"/>
      <protection locked="0"/>
    </xf>
    <xf numFmtId="0" fontId="0" fillId="13" borderId="59" xfId="0" applyFill="1" applyBorder="1" applyAlignment="1" applyProtection="1">
      <alignment horizontal="center" vertical="center" shrinkToFit="1"/>
      <protection locked="0"/>
    </xf>
    <xf numFmtId="0" fontId="0" fillId="13" borderId="44" xfId="0" applyFill="1" applyBorder="1" applyAlignment="1" applyProtection="1">
      <alignment horizontal="center" vertical="center" shrinkToFit="1"/>
      <protection locked="0"/>
    </xf>
    <xf numFmtId="0" fontId="0" fillId="13" borderId="60" xfId="0" applyFill="1" applyBorder="1" applyAlignment="1" applyProtection="1">
      <alignment horizontal="center" vertical="center" shrinkToFit="1"/>
      <protection locked="0"/>
    </xf>
    <xf numFmtId="0" fontId="0" fillId="12" borderId="45" xfId="0" applyFill="1" applyBorder="1" applyAlignment="1" applyProtection="1">
      <alignment horizontal="left" vertical="center" shrinkToFit="1"/>
      <protection locked="0"/>
    </xf>
    <xf numFmtId="0" fontId="0" fillId="12" borderId="47" xfId="0" applyFill="1" applyBorder="1" applyAlignment="1" applyProtection="1">
      <alignment horizontal="left" vertical="center" shrinkToFit="1"/>
      <protection locked="0"/>
    </xf>
    <xf numFmtId="0" fontId="0" fillId="12" borderId="90" xfId="0" applyFill="1" applyBorder="1" applyAlignment="1" applyProtection="1">
      <alignment horizontal="left" vertical="center" shrinkToFit="1"/>
      <protection locked="0"/>
    </xf>
    <xf numFmtId="0" fontId="0" fillId="12" borderId="3" xfId="0" applyFill="1" applyBorder="1" applyAlignment="1" applyProtection="1">
      <alignment horizontal="center" vertical="center" shrinkToFit="1"/>
      <protection locked="0"/>
    </xf>
    <xf numFmtId="0" fontId="0" fillId="12" borderId="45" xfId="0" applyFill="1" applyBorder="1" applyAlignment="1" applyProtection="1">
      <alignment horizontal="center" vertical="center" shrinkToFit="1"/>
      <protection locked="0"/>
    </xf>
    <xf numFmtId="0" fontId="0" fillId="12" borderId="36" xfId="0" applyFill="1" applyBorder="1" applyAlignment="1" applyProtection="1">
      <alignment horizontal="center" vertical="center" shrinkToFit="1"/>
      <protection locked="0"/>
    </xf>
    <xf numFmtId="0" fontId="50" fillId="0" borderId="93" xfId="4" applyFont="1" applyBorder="1" applyAlignment="1">
      <alignment horizontal="left" wrapText="1" indent="1"/>
    </xf>
    <xf numFmtId="0" fontId="50" fillId="0" borderId="77" xfId="4" applyFont="1" applyBorder="1" applyAlignment="1">
      <alignment horizontal="left" wrapText="1" indent="1"/>
    </xf>
    <xf numFmtId="0" fontId="50" fillId="0" borderId="67" xfId="4" applyFont="1" applyBorder="1" applyAlignment="1">
      <alignment horizontal="left" wrapText="1" indent="1"/>
    </xf>
    <xf numFmtId="0" fontId="44" fillId="0" borderId="88" xfId="3" applyFont="1" applyBorder="1" applyAlignment="1">
      <alignment horizontal="left" vertical="center" wrapText="1" indent="1"/>
    </xf>
    <xf numFmtId="0" fontId="44" fillId="0" borderId="46" xfId="3" applyFont="1" applyBorder="1" applyAlignment="1">
      <alignment horizontal="left" vertical="center" wrapText="1" indent="1"/>
    </xf>
    <xf numFmtId="0" fontId="44" fillId="0" borderId="38" xfId="3" applyFont="1" applyBorder="1" applyAlignment="1">
      <alignment horizontal="left" vertical="center" wrapText="1" indent="1"/>
    </xf>
    <xf numFmtId="0" fontId="30" fillId="0" borderId="25" xfId="3" applyFont="1" applyBorder="1" applyAlignment="1">
      <alignment horizontal="center" vertical="center"/>
    </xf>
    <xf numFmtId="0" fontId="30" fillId="0" borderId="26" xfId="3" applyFont="1" applyBorder="1" applyAlignment="1">
      <alignment horizontal="center" vertical="center"/>
    </xf>
    <xf numFmtId="0" fontId="30" fillId="0" borderId="84" xfId="3" applyFont="1" applyBorder="1" applyAlignment="1">
      <alignment horizontal="center" vertical="center"/>
    </xf>
    <xf numFmtId="0" fontId="30" fillId="0" borderId="51" xfId="3" applyFont="1" applyBorder="1" applyAlignment="1">
      <alignment horizontal="center" vertical="center"/>
    </xf>
    <xf numFmtId="0" fontId="0" fillId="16" borderId="16" xfId="0" applyFill="1" applyBorder="1" applyAlignment="1">
      <alignment horizontal="center" vertical="center" shrinkToFit="1"/>
    </xf>
    <xf numFmtId="0" fontId="0" fillId="16" borderId="5" xfId="0" applyFill="1" applyBorder="1" applyAlignment="1">
      <alignment horizontal="center" vertical="center" shrinkToFit="1"/>
    </xf>
    <xf numFmtId="0" fontId="0" fillId="16" borderId="32" xfId="0" applyFill="1" applyBorder="1" applyAlignment="1">
      <alignment horizontal="center" vertical="center" shrinkToFit="1"/>
    </xf>
    <xf numFmtId="0" fontId="30" fillId="0" borderId="26" xfId="3" applyFont="1" applyBorder="1" applyAlignment="1">
      <alignment horizontal="center" vertical="center" wrapText="1"/>
    </xf>
    <xf numFmtId="0" fontId="30" fillId="0" borderId="84" xfId="3" applyFont="1" applyBorder="1" applyAlignment="1">
      <alignment horizontal="center" vertical="center" wrapText="1"/>
    </xf>
    <xf numFmtId="0" fontId="30" fillId="0" borderId="129" xfId="3" applyFont="1" applyBorder="1" applyAlignment="1">
      <alignment horizontal="center" vertical="center" wrapText="1"/>
    </xf>
    <xf numFmtId="0" fontId="0" fillId="16" borderId="50" xfId="0" applyFill="1" applyBorder="1" applyAlignment="1">
      <alignment horizontal="left" vertical="center" shrinkToFit="1"/>
    </xf>
    <xf numFmtId="0" fontId="0" fillId="16" borderId="74" xfId="0" applyFill="1" applyBorder="1" applyAlignment="1">
      <alignment horizontal="left" vertical="center" shrinkToFit="1"/>
    </xf>
    <xf numFmtId="0" fontId="0" fillId="16" borderId="181" xfId="0" applyFill="1" applyBorder="1" applyAlignment="1">
      <alignment horizontal="left" vertical="center" shrinkToFit="1"/>
    </xf>
    <xf numFmtId="0" fontId="0" fillId="12" borderId="16" xfId="0" applyFill="1" applyBorder="1" applyAlignment="1" applyProtection="1">
      <alignment horizontal="center" vertical="center" shrinkToFit="1"/>
      <protection locked="0"/>
    </xf>
    <xf numFmtId="0" fontId="0" fillId="12" borderId="5" xfId="0" applyFill="1" applyBorder="1" applyAlignment="1" applyProtection="1">
      <alignment horizontal="center" vertical="center" shrinkToFit="1"/>
      <protection locked="0"/>
    </xf>
    <xf numFmtId="0" fontId="0" fillId="12" borderId="32" xfId="0" applyFill="1" applyBorder="1" applyAlignment="1" applyProtection="1">
      <alignment horizontal="center" vertical="center" shrinkToFit="1"/>
      <protection locked="0"/>
    </xf>
    <xf numFmtId="0" fontId="47" fillId="13" borderId="34" xfId="4" applyFont="1" applyFill="1" applyBorder="1" applyAlignment="1">
      <alignment horizontal="center" vertical="center" wrapText="1"/>
    </xf>
    <xf numFmtId="0" fontId="47" fillId="13" borderId="64" xfId="4" applyFont="1" applyFill="1" applyBorder="1" applyAlignment="1">
      <alignment horizontal="center" vertical="center" wrapText="1"/>
    </xf>
    <xf numFmtId="0" fontId="49" fillId="13" borderId="44" xfId="4" applyFont="1" applyFill="1" applyBorder="1" applyAlignment="1" applyProtection="1">
      <alignment horizontal="left" vertical="center" shrinkToFit="1"/>
      <protection locked="0"/>
    </xf>
    <xf numFmtId="0" fontId="49" fillId="13" borderId="73" xfId="4" applyFont="1" applyFill="1" applyBorder="1" applyAlignment="1" applyProtection="1">
      <alignment horizontal="left" vertical="center" shrinkToFit="1"/>
      <protection locked="0"/>
    </xf>
    <xf numFmtId="0" fontId="49" fillId="13" borderId="63" xfId="4" applyFont="1" applyFill="1" applyBorder="1" applyAlignment="1" applyProtection="1">
      <alignment horizontal="left" vertical="center" shrinkToFit="1"/>
      <protection locked="0"/>
    </xf>
    <xf numFmtId="0" fontId="30" fillId="13" borderId="16" xfId="4" applyFont="1" applyFill="1" applyBorder="1" applyAlignment="1">
      <alignment horizontal="center" vertical="center"/>
    </xf>
    <xf numFmtId="0" fontId="48" fillId="13" borderId="5" xfId="2" applyFont="1" applyFill="1" applyBorder="1" applyAlignment="1" applyProtection="1">
      <alignment horizontal="center" vertical="center"/>
      <protection locked="0"/>
    </xf>
    <xf numFmtId="0" fontId="48" fillId="13" borderId="46" xfId="2" applyFont="1" applyFill="1" applyBorder="1" applyAlignment="1" applyProtection="1">
      <alignment horizontal="center" vertical="center"/>
      <protection locked="0"/>
    </xf>
    <xf numFmtId="0" fontId="48" fillId="13" borderId="32" xfId="2" applyFont="1" applyFill="1" applyBorder="1" applyAlignment="1" applyProtection="1">
      <alignment horizontal="center" vertical="center"/>
      <protection locked="0"/>
    </xf>
    <xf numFmtId="0" fontId="30" fillId="13" borderId="3" xfId="4" applyFont="1" applyFill="1" applyBorder="1" applyAlignment="1">
      <alignment horizontal="center" vertical="center"/>
    </xf>
    <xf numFmtId="0" fontId="48" fillId="13" borderId="20" xfId="2" applyFont="1" applyFill="1" applyBorder="1" applyAlignment="1" applyProtection="1">
      <alignment horizontal="left" vertical="center"/>
      <protection locked="0"/>
    </xf>
    <xf numFmtId="0" fontId="30" fillId="13" borderId="59" xfId="4" applyFont="1" applyFill="1" applyBorder="1" applyAlignment="1">
      <alignment horizontal="center" vertical="center"/>
    </xf>
    <xf numFmtId="0" fontId="8" fillId="13" borderId="45" xfId="2" applyFont="1" applyFill="1" applyBorder="1" applyAlignment="1" applyProtection="1">
      <alignment horizontal="center" vertical="center"/>
      <protection locked="0"/>
    </xf>
    <xf numFmtId="0" fontId="8" fillId="13" borderId="47" xfId="2" applyFont="1" applyFill="1" applyBorder="1" applyAlignment="1" applyProtection="1">
      <alignment horizontal="center" vertical="center"/>
      <protection locked="0"/>
    </xf>
    <xf numFmtId="0" fontId="8" fillId="13" borderId="36" xfId="2" applyFont="1" applyFill="1" applyBorder="1" applyAlignment="1" applyProtection="1">
      <alignment horizontal="center" vertical="center"/>
      <protection locked="0"/>
    </xf>
    <xf numFmtId="0" fontId="8" fillId="4" borderId="3" xfId="2" applyFont="1" applyFill="1" applyBorder="1" applyAlignment="1" applyProtection="1">
      <alignment horizontal="left" vertical="center"/>
      <protection locked="0"/>
    </xf>
    <xf numFmtId="0" fontId="30" fillId="0" borderId="3" xfId="4" applyFont="1" applyBorder="1" applyAlignment="1">
      <alignment horizontal="center" vertical="center"/>
    </xf>
    <xf numFmtId="0" fontId="31" fillId="4" borderId="3" xfId="4" applyFont="1" applyFill="1" applyBorder="1" applyAlignment="1" applyProtection="1">
      <alignment horizontal="left" vertical="center" shrinkToFit="1"/>
      <protection locked="0"/>
    </xf>
    <xf numFmtId="0" fontId="31" fillId="4" borderId="86" xfId="4" applyFont="1" applyFill="1" applyBorder="1" applyAlignment="1" applyProtection="1">
      <alignment horizontal="left" vertical="center" shrinkToFit="1"/>
      <protection locked="0"/>
    </xf>
    <xf numFmtId="0" fontId="8" fillId="4" borderId="45" xfId="2" applyFont="1" applyFill="1" applyBorder="1" applyAlignment="1" applyProtection="1">
      <alignment horizontal="left" vertical="center"/>
      <protection locked="0"/>
    </xf>
    <xf numFmtId="0" fontId="8" fillId="4" borderId="47" xfId="2" applyFont="1" applyFill="1" applyBorder="1" applyAlignment="1" applyProtection="1">
      <alignment horizontal="left" vertical="center"/>
      <protection locked="0"/>
    </xf>
    <xf numFmtId="0" fontId="8" fillId="4" borderId="36" xfId="2" applyFont="1" applyFill="1" applyBorder="1" applyAlignment="1" applyProtection="1">
      <alignment horizontal="left" vertical="center"/>
      <protection locked="0"/>
    </xf>
    <xf numFmtId="0" fontId="31" fillId="4" borderId="45" xfId="4" applyFont="1" applyFill="1" applyBorder="1" applyAlignment="1" applyProtection="1">
      <alignment horizontal="left" vertical="center"/>
      <protection locked="0"/>
    </xf>
    <xf numFmtId="0" fontId="31" fillId="4" borderId="47" xfId="4" applyFont="1" applyFill="1" applyBorder="1" applyAlignment="1" applyProtection="1">
      <alignment horizontal="left" vertical="center"/>
      <protection locked="0"/>
    </xf>
    <xf numFmtId="0" fontId="31" fillId="4" borderId="90" xfId="4" applyFont="1" applyFill="1" applyBorder="1" applyAlignment="1" applyProtection="1">
      <alignment horizontal="left" vertical="center"/>
      <protection locked="0"/>
    </xf>
    <xf numFmtId="0" fontId="30" fillId="4" borderId="186" xfId="4" applyFont="1" applyFill="1" applyBorder="1" applyAlignment="1" applyProtection="1">
      <alignment horizontal="center" vertical="center"/>
      <protection locked="0"/>
    </xf>
    <xf numFmtId="0" fontId="30" fillId="4" borderId="106" xfId="4" applyFont="1" applyFill="1" applyBorder="1" applyAlignment="1" applyProtection="1">
      <alignment horizontal="center" vertical="center"/>
      <protection locked="0"/>
    </xf>
    <xf numFmtId="0" fontId="30" fillId="4" borderId="107" xfId="4" applyFont="1" applyFill="1" applyBorder="1" applyAlignment="1" applyProtection="1">
      <alignment horizontal="center" vertical="center"/>
      <protection locked="0"/>
    </xf>
    <xf numFmtId="0" fontId="8" fillId="4" borderId="44" xfId="2" applyFont="1" applyFill="1" applyBorder="1" applyAlignment="1" applyProtection="1">
      <alignment horizontal="center" vertical="center"/>
      <protection locked="0"/>
    </xf>
    <xf numFmtId="0" fontId="8" fillId="4" borderId="73" xfId="2" applyFont="1" applyFill="1" applyBorder="1" applyAlignment="1" applyProtection="1">
      <alignment horizontal="center" vertical="center"/>
      <protection locked="0"/>
    </xf>
    <xf numFmtId="0" fontId="8" fillId="4" borderId="60" xfId="2" applyFont="1" applyFill="1" applyBorder="1" applyAlignment="1" applyProtection="1">
      <alignment horizontal="center" vertical="center"/>
      <protection locked="0"/>
    </xf>
    <xf numFmtId="0" fontId="28" fillId="0" borderId="0" xfId="4" applyFont="1" applyAlignment="1">
      <alignment horizontal="center" vertical="center"/>
    </xf>
    <xf numFmtId="0" fontId="8" fillId="4" borderId="48" xfId="2" applyFont="1" applyFill="1" applyBorder="1" applyAlignment="1" applyProtection="1">
      <alignment horizontal="center" vertical="center"/>
      <protection locked="0"/>
    </xf>
    <xf numFmtId="0" fontId="8" fillId="4" borderId="57" xfId="2" applyFont="1" applyFill="1" applyBorder="1" applyAlignment="1" applyProtection="1">
      <alignment horizontal="center" vertical="center"/>
      <protection locked="0"/>
    </xf>
    <xf numFmtId="0" fontId="8" fillId="4" borderId="69" xfId="2" applyFont="1" applyFill="1" applyBorder="1" applyAlignment="1" applyProtection="1">
      <alignment horizontal="center" vertical="center"/>
      <protection locked="0"/>
    </xf>
    <xf numFmtId="0" fontId="31" fillId="4" borderId="48" xfId="4" applyFont="1" applyFill="1" applyBorder="1" applyAlignment="1" applyProtection="1">
      <alignment horizontal="center" vertical="center"/>
      <protection locked="0"/>
    </xf>
    <xf numFmtId="0" fontId="31" fillId="4" borderId="57" xfId="4" applyFont="1" applyFill="1" applyBorder="1" applyAlignment="1" applyProtection="1">
      <alignment horizontal="center" vertical="center"/>
      <protection locked="0"/>
    </xf>
    <xf numFmtId="0" fontId="31" fillId="4" borderId="69" xfId="4" applyFont="1" applyFill="1" applyBorder="1" applyAlignment="1" applyProtection="1">
      <alignment horizontal="center" vertical="center"/>
      <protection locked="0"/>
    </xf>
    <xf numFmtId="0" fontId="31" fillId="4" borderId="3" xfId="4" applyFont="1" applyFill="1" applyBorder="1" applyAlignment="1" applyProtection="1">
      <alignment horizontal="center" vertical="center"/>
      <protection locked="0"/>
    </xf>
    <xf numFmtId="0" fontId="31" fillId="4" borderId="86" xfId="4" applyFont="1" applyFill="1" applyBorder="1" applyAlignment="1" applyProtection="1">
      <alignment horizontal="center" vertical="center"/>
      <protection locked="0"/>
    </xf>
    <xf numFmtId="0" fontId="8" fillId="4" borderId="45" xfId="2" applyFont="1" applyFill="1" applyBorder="1" applyAlignment="1" applyProtection="1">
      <alignment horizontal="center" vertical="center"/>
      <protection locked="0"/>
    </xf>
    <xf numFmtId="0" fontId="8" fillId="4" borderId="47" xfId="2" applyFont="1" applyFill="1" applyBorder="1" applyAlignment="1" applyProtection="1">
      <alignment horizontal="center" vertical="center"/>
      <protection locked="0"/>
    </xf>
    <xf numFmtId="0" fontId="8" fillId="4" borderId="36" xfId="2" applyFont="1" applyFill="1" applyBorder="1" applyAlignment="1" applyProtection="1">
      <alignment horizontal="center" vertical="center"/>
      <protection locked="0"/>
    </xf>
    <xf numFmtId="0" fontId="30" fillId="0" borderId="5" xfId="4" applyFont="1" applyBorder="1" applyAlignment="1">
      <alignment horizontal="center" vertical="center" wrapText="1"/>
    </xf>
    <xf numFmtId="0" fontId="30" fillId="0" borderId="32" xfId="4" applyFont="1" applyBorder="1" applyAlignment="1">
      <alignment horizontal="center" vertical="center"/>
    </xf>
    <xf numFmtId="0" fontId="8" fillId="4" borderId="90" xfId="2" applyFont="1" applyFill="1" applyBorder="1" applyAlignment="1" applyProtection="1">
      <alignment horizontal="center" vertical="center"/>
      <protection locked="0"/>
    </xf>
    <xf numFmtId="0" fontId="30" fillId="13" borderId="3" xfId="4" applyFont="1" applyFill="1" applyBorder="1" applyAlignment="1">
      <alignment horizontal="center" vertical="center" wrapText="1"/>
    </xf>
    <xf numFmtId="0" fontId="30" fillId="13" borderId="45" xfId="4" applyFont="1" applyFill="1" applyBorder="1" applyAlignment="1">
      <alignment horizontal="center" vertical="center" wrapText="1"/>
    </xf>
    <xf numFmtId="0" fontId="30" fillId="13" borderId="47" xfId="4" applyFont="1" applyFill="1" applyBorder="1" applyAlignment="1">
      <alignment horizontal="center" vertical="center" wrapText="1"/>
    </xf>
    <xf numFmtId="0" fontId="30" fillId="13" borderId="36" xfId="4" applyFont="1" applyFill="1" applyBorder="1" applyAlignment="1">
      <alignment horizontal="center" vertical="center" wrapText="1"/>
    </xf>
    <xf numFmtId="0" fontId="33" fillId="0" borderId="44" xfId="4" applyFont="1" applyBorder="1" applyAlignment="1">
      <alignment horizontal="right" vertical="center"/>
    </xf>
    <xf numFmtId="0" fontId="33" fillId="0" borderId="73" xfId="4" applyFont="1" applyBorder="1" applyAlignment="1">
      <alignment horizontal="right" vertical="center"/>
    </xf>
    <xf numFmtId="0" fontId="8" fillId="0" borderId="45" xfId="2" applyFont="1" applyBorder="1" applyAlignment="1" applyProtection="1">
      <alignment horizontal="center" vertical="center"/>
      <protection locked="0"/>
    </xf>
    <xf numFmtId="0" fontId="8" fillId="0" borderId="36" xfId="2" applyFont="1" applyBorder="1" applyAlignment="1" applyProtection="1">
      <alignment horizontal="center" vertical="center"/>
      <protection locked="0"/>
    </xf>
    <xf numFmtId="0" fontId="24" fillId="0" borderId="93" xfId="0" applyFont="1" applyBorder="1" applyAlignment="1">
      <alignment horizontal="right" vertical="center" indent="1"/>
    </xf>
    <xf numFmtId="0" fontId="24" fillId="0" borderId="77" xfId="0" applyFont="1" applyBorder="1" applyAlignment="1">
      <alignment horizontal="right" vertical="center" indent="1"/>
    </xf>
    <xf numFmtId="0" fontId="24" fillId="0" borderId="67" xfId="0" applyFont="1" applyBorder="1" applyAlignment="1">
      <alignment horizontal="right" vertical="center" indent="1"/>
    </xf>
    <xf numFmtId="0" fontId="24" fillId="0" borderId="94" xfId="0" applyFont="1" applyBorder="1" applyAlignment="1">
      <alignment horizontal="right" vertical="center" indent="1"/>
    </xf>
    <xf numFmtId="0" fontId="24" fillId="0" borderId="1" xfId="0" applyFont="1" applyBorder="1" applyAlignment="1">
      <alignment horizontal="right" vertical="center" indent="1"/>
    </xf>
    <xf numFmtId="0" fontId="24" fillId="0" borderId="68" xfId="0" applyFont="1" applyBorder="1" applyAlignment="1">
      <alignment horizontal="right" vertical="center" indent="1"/>
    </xf>
    <xf numFmtId="0" fontId="0" fillId="5" borderId="78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86" xfId="0" applyFill="1" applyBorder="1" applyAlignment="1">
      <alignment horizontal="center" vertical="center"/>
    </xf>
    <xf numFmtId="38" fontId="21" fillId="0" borderId="0" xfId="1" applyAlignment="1">
      <alignment horizontal="center" vertical="center"/>
    </xf>
    <xf numFmtId="38" fontId="0" fillId="0" borderId="0" xfId="0" applyNumberFormat="1" applyAlignment="1">
      <alignment horizontal="center" vertical="center"/>
    </xf>
    <xf numFmtId="0" fontId="29" fillId="8" borderId="45" xfId="0" applyFont="1" applyFill="1" applyBorder="1" applyAlignment="1">
      <alignment horizontal="center" vertical="center"/>
    </xf>
    <xf numFmtId="0" fontId="29" fillId="8" borderId="36" xfId="0" applyFont="1" applyFill="1" applyBorder="1" applyAlignment="1">
      <alignment horizontal="center" vertical="center"/>
    </xf>
    <xf numFmtId="0" fontId="0" fillId="8" borderId="17" xfId="0" applyFill="1" applyBorder="1" applyAlignment="1">
      <alignment horizontal="center" vertical="center"/>
    </xf>
    <xf numFmtId="0" fontId="0" fillId="8" borderId="5" xfId="0" applyFill="1" applyBorder="1" applyAlignment="1">
      <alignment horizontal="center" vertical="center"/>
    </xf>
    <xf numFmtId="0" fontId="25" fillId="8" borderId="39" xfId="0" applyFont="1" applyFill="1" applyBorder="1" applyAlignment="1">
      <alignment horizontal="center" vertical="center"/>
    </xf>
    <xf numFmtId="0" fontId="25" fillId="8" borderId="38" xfId="0" applyFont="1" applyFill="1" applyBorder="1" applyAlignment="1">
      <alignment horizontal="center" vertical="center"/>
    </xf>
    <xf numFmtId="0" fontId="0" fillId="8" borderId="62" xfId="0" applyFill="1" applyBorder="1" applyAlignment="1">
      <alignment horizontal="center" vertical="center"/>
    </xf>
    <xf numFmtId="0" fontId="0" fillId="7" borderId="17" xfId="0" applyFill="1" applyBorder="1" applyAlignment="1">
      <alignment horizontal="center" vertical="center"/>
    </xf>
    <xf numFmtId="0" fontId="0" fillId="7" borderId="5" xfId="0" applyFill="1" applyBorder="1" applyAlignment="1">
      <alignment horizontal="center" vertical="center"/>
    </xf>
    <xf numFmtId="0" fontId="0" fillId="7" borderId="18" xfId="0" applyFill="1" applyBorder="1" applyAlignment="1">
      <alignment horizontal="center" vertical="center"/>
    </xf>
    <xf numFmtId="0" fontId="0" fillId="7" borderId="86" xfId="0" applyFill="1" applyBorder="1" applyAlignment="1">
      <alignment horizontal="center" vertical="center"/>
    </xf>
    <xf numFmtId="0" fontId="0" fillId="8" borderId="91" xfId="0" applyFill="1" applyBorder="1" applyAlignment="1">
      <alignment horizontal="center" vertical="center"/>
    </xf>
    <xf numFmtId="0" fontId="25" fillId="8" borderId="92" xfId="0" applyFont="1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5" borderId="126" xfId="0" applyFill="1" applyBorder="1" applyAlignment="1">
      <alignment horizontal="center" vertical="center"/>
    </xf>
    <xf numFmtId="0" fontId="0" fillId="5" borderId="64" xfId="0" applyFill="1" applyBorder="1" applyAlignment="1">
      <alignment horizontal="center" vertical="center"/>
    </xf>
    <xf numFmtId="177" fontId="24" fillId="5" borderId="190" xfId="0" applyNumberFormat="1" applyFont="1" applyFill="1" applyBorder="1" applyAlignment="1">
      <alignment horizontal="center" vertical="center"/>
    </xf>
    <xf numFmtId="177" fontId="24" fillId="5" borderId="65" xfId="0" applyNumberFormat="1" applyFont="1" applyFill="1" applyBorder="1" applyAlignment="1">
      <alignment horizontal="center" vertical="center"/>
    </xf>
    <xf numFmtId="0" fontId="39" fillId="7" borderId="20" xfId="0" applyFont="1" applyFill="1" applyBorder="1" applyAlignment="1">
      <alignment horizontal="center" vertical="center"/>
    </xf>
    <xf numFmtId="0" fontId="39" fillId="7" borderId="16" xfId="0" applyFont="1" applyFill="1" applyBorder="1" applyAlignment="1">
      <alignment horizontal="center" vertical="center"/>
    </xf>
    <xf numFmtId="0" fontId="39" fillId="7" borderId="33" xfId="0" applyFont="1" applyFill="1" applyBorder="1" applyAlignment="1">
      <alignment horizontal="center" vertical="center"/>
    </xf>
    <xf numFmtId="0" fontId="39" fillId="7" borderId="32" xfId="0" applyFont="1" applyFill="1" applyBorder="1" applyAlignment="1">
      <alignment horizontal="center" vertical="center"/>
    </xf>
    <xf numFmtId="0" fontId="24" fillId="15" borderId="119" xfId="0" applyFont="1" applyFill="1" applyBorder="1" applyAlignment="1">
      <alignment horizontal="center" vertical="center" shrinkToFit="1"/>
    </xf>
    <xf numFmtId="0" fontId="24" fillId="15" borderId="104" xfId="0" applyFont="1" applyFill="1" applyBorder="1" applyAlignment="1">
      <alignment horizontal="center" vertical="center" shrinkToFit="1"/>
    </xf>
    <xf numFmtId="0" fontId="24" fillId="15" borderId="62" xfId="0" applyFont="1" applyFill="1" applyBorder="1" applyAlignment="1">
      <alignment horizontal="center" vertical="center" shrinkToFit="1"/>
    </xf>
    <xf numFmtId="0" fontId="24" fillId="15" borderId="66" xfId="0" applyFont="1" applyFill="1" applyBorder="1" applyAlignment="1">
      <alignment horizontal="center" vertical="center" shrinkToFit="1"/>
    </xf>
    <xf numFmtId="177" fontId="24" fillId="15" borderId="119" xfId="0" applyNumberFormat="1" applyFont="1" applyFill="1" applyBorder="1" applyAlignment="1">
      <alignment horizontal="center" vertical="center" shrinkToFit="1"/>
    </xf>
    <xf numFmtId="177" fontId="24" fillId="15" borderId="77" xfId="0" applyNumberFormat="1" applyFont="1" applyFill="1" applyBorder="1" applyAlignment="1">
      <alignment horizontal="center" vertical="center" shrinkToFit="1"/>
    </xf>
    <xf numFmtId="177" fontId="24" fillId="15" borderId="104" xfId="0" applyNumberFormat="1" applyFont="1" applyFill="1" applyBorder="1" applyAlignment="1">
      <alignment horizontal="center" vertical="center" shrinkToFit="1"/>
    </xf>
    <xf numFmtId="177" fontId="24" fillId="15" borderId="62" xfId="0" applyNumberFormat="1" applyFont="1" applyFill="1" applyBorder="1" applyAlignment="1">
      <alignment horizontal="center" vertical="center" shrinkToFit="1"/>
    </xf>
    <xf numFmtId="177" fontId="24" fillId="15" borderId="1" xfId="0" applyNumberFormat="1" applyFont="1" applyFill="1" applyBorder="1" applyAlignment="1">
      <alignment horizontal="center" vertical="center" shrinkToFit="1"/>
    </xf>
    <xf numFmtId="177" fontId="24" fillId="15" borderId="66" xfId="0" applyNumberFormat="1" applyFont="1" applyFill="1" applyBorder="1" applyAlignment="1">
      <alignment horizontal="center" vertical="center" shrinkToFit="1"/>
    </xf>
    <xf numFmtId="177" fontId="24" fillId="12" borderId="34" xfId="0" applyNumberFormat="1" applyFont="1" applyFill="1" applyBorder="1" applyAlignment="1">
      <alignment horizontal="center" vertical="center"/>
    </xf>
    <xf numFmtId="177" fontId="24" fillId="12" borderId="64" xfId="0" applyNumberFormat="1" applyFont="1" applyFill="1" applyBorder="1" applyAlignment="1">
      <alignment horizontal="center" vertical="center"/>
    </xf>
    <xf numFmtId="49" fontId="24" fillId="12" borderId="198" xfId="0" applyNumberFormat="1" applyFont="1" applyFill="1" applyBorder="1" applyAlignment="1">
      <alignment horizontal="center" vertical="center" shrinkToFit="1"/>
    </xf>
    <xf numFmtId="49" fontId="24" fillId="12" borderId="208" xfId="0" applyNumberFormat="1" applyFont="1" applyFill="1" applyBorder="1" applyAlignment="1">
      <alignment horizontal="center" vertical="center" shrinkToFit="1"/>
    </xf>
    <xf numFmtId="49" fontId="24" fillId="12" borderId="98" xfId="0" applyNumberFormat="1" applyFont="1" applyFill="1" applyBorder="1" applyAlignment="1">
      <alignment horizontal="center" vertical="center" shrinkToFit="1"/>
    </xf>
    <xf numFmtId="49" fontId="24" fillId="12" borderId="209" xfId="0" applyNumberFormat="1" applyFont="1" applyFill="1" applyBorder="1" applyAlignment="1">
      <alignment horizontal="center" vertical="center" shrinkToFit="1"/>
    </xf>
    <xf numFmtId="177" fontId="24" fillId="15" borderId="124" xfId="0" applyNumberFormat="1" applyFont="1" applyFill="1" applyBorder="1" applyAlignment="1">
      <alignment horizontal="center" vertical="center" shrinkToFit="1"/>
    </xf>
    <xf numFmtId="177" fontId="24" fillId="15" borderId="125" xfId="0" applyNumberFormat="1" applyFont="1" applyFill="1" applyBorder="1" applyAlignment="1">
      <alignment horizontal="center" vertical="center" shrinkToFit="1"/>
    </xf>
    <xf numFmtId="49" fontId="0" fillId="15" borderId="102" xfId="0" applyNumberFormat="1" applyFill="1" applyBorder="1" applyAlignment="1">
      <alignment horizontal="center" vertical="center" shrinkToFit="1"/>
    </xf>
    <xf numFmtId="49" fontId="0" fillId="15" borderId="103" xfId="0" applyNumberFormat="1" applyFill="1" applyBorder="1" applyAlignment="1">
      <alignment horizontal="center" vertical="center" shrinkToFit="1"/>
    </xf>
    <xf numFmtId="49" fontId="24" fillId="12" borderId="199" xfId="0" applyNumberFormat="1" applyFont="1" applyFill="1" applyBorder="1" applyAlignment="1">
      <alignment horizontal="center" vertical="center" shrinkToFit="1"/>
    </xf>
    <xf numFmtId="49" fontId="24" fillId="12" borderId="213" xfId="0" applyNumberFormat="1" applyFont="1" applyFill="1" applyBorder="1" applyAlignment="1">
      <alignment horizontal="center" vertical="center" shrinkToFit="1"/>
    </xf>
    <xf numFmtId="0" fontId="0" fillId="7" borderId="62" xfId="0" applyFill="1" applyBorder="1" applyAlignment="1">
      <alignment horizontal="center" vertical="center"/>
    </xf>
    <xf numFmtId="0" fontId="29" fillId="4" borderId="85" xfId="0" applyFont="1" applyFill="1" applyBorder="1" applyAlignment="1">
      <alignment horizontal="center" vertical="center"/>
    </xf>
    <xf numFmtId="0" fontId="29" fillId="4" borderId="57" xfId="0" applyFont="1" applyFill="1" applyBorder="1" applyAlignment="1">
      <alignment horizontal="center" vertical="center"/>
    </xf>
    <xf numFmtId="0" fontId="29" fillId="8" borderId="88" xfId="0" applyFont="1" applyFill="1" applyBorder="1" applyAlignment="1">
      <alignment horizontal="center" vertical="center"/>
    </xf>
    <xf numFmtId="0" fontId="29" fillId="8" borderId="38" xfId="0" applyFont="1" applyFill="1" applyBorder="1" applyAlignment="1">
      <alignment horizontal="center" vertical="center"/>
    </xf>
    <xf numFmtId="0" fontId="29" fillId="8" borderId="46" xfId="0" applyFont="1" applyFill="1" applyBorder="1" applyAlignment="1">
      <alignment horizontal="center" vertical="center"/>
    </xf>
    <xf numFmtId="0" fontId="29" fillId="8" borderId="88" xfId="0" applyFont="1" applyFill="1" applyBorder="1" applyAlignment="1">
      <alignment horizontal="center" vertical="center" shrinkToFit="1"/>
    </xf>
    <xf numFmtId="0" fontId="29" fillId="8" borderId="38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 wrapText="1"/>
    </xf>
    <xf numFmtId="0" fontId="0" fillId="4" borderId="91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25" fillId="4" borderId="92" xfId="0" applyFont="1" applyFill="1" applyBorder="1" applyAlignment="1">
      <alignment horizontal="center" vertical="center"/>
    </xf>
    <xf numFmtId="0" fontId="25" fillId="4" borderId="38" xfId="0" applyFont="1" applyFill="1" applyBorder="1" applyAlignment="1">
      <alignment horizontal="center" vertical="center"/>
    </xf>
    <xf numFmtId="0" fontId="0" fillId="4" borderId="17" xfId="0" applyFill="1" applyBorder="1" applyAlignment="1">
      <alignment horizontal="center" vertical="center"/>
    </xf>
    <xf numFmtId="0" fontId="25" fillId="4" borderId="39" xfId="0" applyFont="1" applyFill="1" applyBorder="1" applyAlignment="1">
      <alignment horizontal="center" vertical="center"/>
    </xf>
    <xf numFmtId="0" fontId="29" fillId="4" borderId="85" xfId="0" applyFont="1" applyFill="1" applyBorder="1" applyAlignment="1">
      <alignment horizontal="center" vertical="center" shrinkToFit="1"/>
    </xf>
    <xf numFmtId="0" fontId="29" fillId="4" borderId="83" xfId="0" applyFont="1" applyFill="1" applyBorder="1" applyAlignment="1">
      <alignment horizontal="center" vertical="center" shrinkToFit="1"/>
    </xf>
    <xf numFmtId="0" fontId="29" fillId="4" borderId="83" xfId="0" applyFont="1" applyFill="1" applyBorder="1" applyAlignment="1">
      <alignment horizontal="center" vertical="center"/>
    </xf>
    <xf numFmtId="0" fontId="25" fillId="10" borderId="39" xfId="0" applyFont="1" applyFill="1" applyBorder="1" applyAlignment="1">
      <alignment horizontal="center" vertical="center"/>
    </xf>
    <xf numFmtId="0" fontId="25" fillId="10" borderId="38" xfId="0" applyFont="1" applyFill="1" applyBorder="1" applyAlignment="1">
      <alignment horizontal="center" vertical="center"/>
    </xf>
    <xf numFmtId="0" fontId="0" fillId="10" borderId="17" xfId="0" applyFill="1" applyBorder="1" applyAlignment="1">
      <alignment horizontal="center" vertical="center"/>
    </xf>
    <xf numFmtId="0" fontId="0" fillId="10" borderId="5" xfId="0" applyFill="1" applyBorder="1" applyAlignment="1">
      <alignment horizontal="center" vertical="center"/>
    </xf>
    <xf numFmtId="0" fontId="0" fillId="0" borderId="85" xfId="0" applyBorder="1" applyAlignment="1">
      <alignment horizontal="left" vertical="center"/>
    </xf>
    <xf numFmtId="0" fontId="0" fillId="0" borderId="57" xfId="0" applyBorder="1" applyAlignment="1">
      <alignment horizontal="left" vertical="center"/>
    </xf>
    <xf numFmtId="0" fontId="0" fillId="0" borderId="57" xfId="0" applyBorder="1" applyAlignment="1">
      <alignment horizontal="left" vertical="center" shrinkToFit="1"/>
    </xf>
    <xf numFmtId="0" fontId="0" fillId="0" borderId="83" xfId="0" applyBorder="1" applyAlignment="1">
      <alignment horizontal="left" vertical="center" shrinkToFit="1"/>
    </xf>
    <xf numFmtId="38" fontId="21" fillId="4" borderId="95" xfId="1" applyFill="1" applyBorder="1" applyAlignment="1">
      <alignment horizontal="center" vertical="center"/>
    </xf>
    <xf numFmtId="38" fontId="21" fillId="4" borderId="96" xfId="1" applyFill="1" applyBorder="1" applyAlignment="1">
      <alignment horizontal="center" vertical="center"/>
    </xf>
    <xf numFmtId="0" fontId="0" fillId="7" borderId="45" xfId="0" applyFill="1" applyBorder="1" applyAlignment="1">
      <alignment horizontal="center" vertical="center"/>
    </xf>
    <xf numFmtId="0" fontId="0" fillId="7" borderId="47" xfId="0" applyFill="1" applyBorder="1" applyAlignment="1">
      <alignment horizontal="center" vertical="center"/>
    </xf>
    <xf numFmtId="0" fontId="0" fillId="7" borderId="90" xfId="0" applyFill="1" applyBorder="1" applyAlignment="1">
      <alignment horizontal="center" vertical="center"/>
    </xf>
    <xf numFmtId="177" fontId="24" fillId="5" borderId="34" xfId="0" applyNumberFormat="1" applyFont="1" applyFill="1" applyBorder="1" applyAlignment="1">
      <alignment horizontal="center" vertical="center"/>
    </xf>
    <xf numFmtId="177" fontId="24" fillId="5" borderId="64" xfId="0" applyNumberFormat="1" applyFont="1" applyFill="1" applyBorder="1" applyAlignment="1">
      <alignment horizontal="center" vertical="center"/>
    </xf>
    <xf numFmtId="177" fontId="24" fillId="5" borderId="22" xfId="0" applyNumberFormat="1" applyFont="1" applyFill="1" applyBorder="1" applyAlignment="1">
      <alignment horizontal="center" vertical="center"/>
    </xf>
    <xf numFmtId="177" fontId="24" fillId="5" borderId="0" xfId="0" applyNumberFormat="1" applyFont="1" applyFill="1" applyAlignment="1">
      <alignment horizontal="center" vertical="center"/>
    </xf>
    <xf numFmtId="177" fontId="24" fillId="5" borderId="70" xfId="0" applyNumberFormat="1" applyFont="1" applyFill="1" applyBorder="1" applyAlignment="1">
      <alignment horizontal="center" vertical="center"/>
    </xf>
    <xf numFmtId="177" fontId="24" fillId="5" borderId="1" xfId="0" applyNumberFormat="1" applyFont="1" applyFill="1" applyBorder="1" applyAlignment="1">
      <alignment horizontal="center" vertical="center"/>
    </xf>
    <xf numFmtId="177" fontId="24" fillId="5" borderId="68" xfId="0" applyNumberFormat="1" applyFon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76" fontId="0" fillId="0" borderId="17" xfId="0" applyNumberFormat="1" applyBorder="1" applyAlignment="1">
      <alignment horizontal="center" vertical="center"/>
    </xf>
    <xf numFmtId="176" fontId="0" fillId="0" borderId="89" xfId="0" applyNumberForma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26" fillId="5" borderId="46" xfId="0" applyFont="1" applyFill="1" applyBorder="1" applyAlignment="1">
      <alignment horizontal="center" vertical="center"/>
    </xf>
    <xf numFmtId="0" fontId="26" fillId="5" borderId="32" xfId="0" applyFont="1" applyFill="1" applyBorder="1" applyAlignment="1">
      <alignment horizontal="center" vertical="center"/>
    </xf>
    <xf numFmtId="0" fontId="39" fillId="15" borderId="89" xfId="0" applyFont="1" applyFill="1" applyBorder="1" applyAlignment="1">
      <alignment horizontal="center" vertical="center" shrinkToFit="1"/>
    </xf>
    <xf numFmtId="0" fontId="39" fillId="15" borderId="11" xfId="0" applyFont="1" applyFill="1" applyBorder="1" applyAlignment="1">
      <alignment horizontal="center" vertical="center" shrinkToFit="1"/>
    </xf>
    <xf numFmtId="0" fontId="26" fillId="5" borderId="5" xfId="0" applyFont="1" applyFill="1" applyBorder="1" applyAlignment="1">
      <alignment horizontal="center" vertical="center"/>
    </xf>
    <xf numFmtId="0" fontId="26" fillId="5" borderId="38" xfId="0" applyFont="1" applyFill="1" applyBorder="1" applyAlignment="1">
      <alignment horizontal="center" vertical="center"/>
    </xf>
    <xf numFmtId="38" fontId="60" fillId="4" borderId="42" xfId="1" applyFont="1" applyFill="1" applyBorder="1" applyAlignment="1">
      <alignment horizontal="center" vertical="top" wrapText="1"/>
    </xf>
    <xf numFmtId="38" fontId="60" fillId="4" borderId="101" xfId="1" applyFont="1" applyFill="1" applyBorder="1" applyAlignment="1">
      <alignment horizontal="center" vertical="top" wrapText="1"/>
    </xf>
    <xf numFmtId="0" fontId="0" fillId="5" borderId="126" xfId="0" applyFill="1" applyBorder="1" applyAlignment="1">
      <alignment horizontal="center" vertical="center" wrapText="1"/>
    </xf>
    <xf numFmtId="0" fontId="0" fillId="5" borderId="34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29" fillId="15" borderId="47" xfId="0" applyFont="1" applyFill="1" applyBorder="1" applyAlignment="1">
      <alignment horizontal="center" vertical="center" shrinkToFit="1"/>
    </xf>
    <xf numFmtId="0" fontId="29" fillId="15" borderId="90" xfId="0" applyFont="1" applyFill="1" applyBorder="1" applyAlignment="1">
      <alignment horizontal="center" vertical="center" shrinkToFit="1"/>
    </xf>
    <xf numFmtId="0" fontId="36" fillId="7" borderId="47" xfId="0" applyFont="1" applyFill="1" applyBorder="1" applyAlignment="1">
      <alignment horizontal="center" vertical="center"/>
    </xf>
    <xf numFmtId="0" fontId="36" fillId="7" borderId="90" xfId="0" applyFont="1" applyFill="1" applyBorder="1" applyAlignment="1">
      <alignment horizontal="center" vertical="center"/>
    </xf>
    <xf numFmtId="0" fontId="39" fillId="12" borderId="26" xfId="0" applyFont="1" applyFill="1" applyBorder="1" applyAlignment="1">
      <alignment horizontal="center" vertical="center" shrinkToFit="1"/>
    </xf>
    <xf numFmtId="0" fontId="39" fillId="12" borderId="129" xfId="0" applyFont="1" applyFill="1" applyBorder="1" applyAlignment="1">
      <alignment horizontal="center" vertical="center" shrinkToFit="1"/>
    </xf>
    <xf numFmtId="0" fontId="26" fillId="12" borderId="93" xfId="0" applyFont="1" applyFill="1" applyBorder="1" applyAlignment="1">
      <alignment horizontal="center" vertical="center" wrapText="1" shrinkToFit="1"/>
    </xf>
    <xf numFmtId="0" fontId="26" fillId="12" borderId="77" xfId="0" applyFont="1" applyFill="1" applyBorder="1" applyAlignment="1">
      <alignment horizontal="center" vertical="center" wrapText="1" shrinkToFit="1"/>
    </xf>
    <xf numFmtId="0" fontId="26" fillId="12" borderId="67" xfId="0" applyFont="1" applyFill="1" applyBorder="1" applyAlignment="1">
      <alignment horizontal="center" vertical="center" wrapText="1" shrinkToFit="1"/>
    </xf>
    <xf numFmtId="0" fontId="26" fillId="12" borderId="88" xfId="0" applyFont="1" applyFill="1" applyBorder="1" applyAlignment="1">
      <alignment horizontal="center" vertical="center" wrapText="1" shrinkToFit="1"/>
    </xf>
    <xf numFmtId="0" fontId="26" fillId="12" borderId="46" xfId="0" applyFont="1" applyFill="1" applyBorder="1" applyAlignment="1">
      <alignment horizontal="center" vertical="center" wrapText="1" shrinkToFit="1"/>
    </xf>
    <xf numFmtId="0" fontId="26" fillId="12" borderId="38" xfId="0" applyFont="1" applyFill="1" applyBorder="1" applyAlignment="1">
      <alignment horizontal="center" vertical="center" wrapText="1" shrinkToFit="1"/>
    </xf>
    <xf numFmtId="0" fontId="0" fillId="4" borderId="62" xfId="0" applyFill="1" applyBorder="1" applyAlignment="1">
      <alignment horizontal="center" vertical="center"/>
    </xf>
    <xf numFmtId="38" fontId="23" fillId="0" borderId="1" xfId="1" applyFont="1" applyBorder="1" applyAlignment="1">
      <alignment horizontal="right" vertical="center"/>
    </xf>
    <xf numFmtId="0" fontId="29" fillId="10" borderId="57" xfId="0" applyFont="1" applyFill="1" applyBorder="1" applyAlignment="1">
      <alignment horizontal="center" vertical="center"/>
    </xf>
    <xf numFmtId="0" fontId="0" fillId="10" borderId="91" xfId="0" applyFill="1" applyBorder="1" applyAlignment="1">
      <alignment horizontal="center" vertical="center"/>
    </xf>
    <xf numFmtId="0" fontId="25" fillId="10" borderId="92" xfId="0" applyFont="1" applyFill="1" applyBorder="1" applyAlignment="1">
      <alignment horizontal="center" vertical="center"/>
    </xf>
    <xf numFmtId="0" fontId="0" fillId="10" borderId="62" xfId="0" applyFill="1" applyBorder="1" applyAlignment="1">
      <alignment horizontal="center" vertical="center"/>
    </xf>
    <xf numFmtId="0" fontId="25" fillId="10" borderId="68" xfId="0" applyFont="1" applyFill="1" applyBorder="1" applyAlignment="1">
      <alignment horizontal="center" vertical="center"/>
    </xf>
    <xf numFmtId="176" fontId="51" fillId="0" borderId="1" xfId="0" applyNumberFormat="1" applyFont="1" applyBorder="1" applyAlignment="1">
      <alignment horizontal="center" vertical="center"/>
    </xf>
    <xf numFmtId="176" fontId="51" fillId="0" borderId="1" xfId="0" applyNumberFormat="1" applyFont="1" applyBorder="1" applyAlignment="1">
      <alignment horizontal="center" vertical="center" shrinkToFit="1"/>
    </xf>
    <xf numFmtId="0" fontId="26" fillId="5" borderId="48" xfId="0" applyFont="1" applyFill="1" applyBorder="1" applyAlignment="1">
      <alignment horizontal="center" vertical="center"/>
    </xf>
    <xf numFmtId="0" fontId="26" fillId="5" borderId="57" xfId="0" applyFont="1" applyFill="1" applyBorder="1" applyAlignment="1">
      <alignment horizontal="center" vertical="center"/>
    </xf>
    <xf numFmtId="0" fontId="26" fillId="5" borderId="69" xfId="0" applyFont="1" applyFill="1" applyBorder="1" applyAlignment="1">
      <alignment horizontal="center" vertical="center"/>
    </xf>
    <xf numFmtId="0" fontId="26" fillId="15" borderId="93" xfId="0" applyFont="1" applyFill="1" applyBorder="1" applyAlignment="1">
      <alignment horizontal="center" vertical="center" wrapText="1" shrinkToFit="1"/>
    </xf>
    <xf numFmtId="0" fontId="26" fillId="15" borderId="77" xfId="0" applyFont="1" applyFill="1" applyBorder="1" applyAlignment="1">
      <alignment horizontal="center" vertical="center" wrapText="1" shrinkToFit="1"/>
    </xf>
    <xf numFmtId="0" fontId="26" fillId="15" borderId="104" xfId="0" applyFont="1" applyFill="1" applyBorder="1" applyAlignment="1">
      <alignment horizontal="center" vertical="center" wrapText="1" shrinkToFit="1"/>
    </xf>
    <xf numFmtId="0" fontId="26" fillId="15" borderId="88" xfId="0" applyFont="1" applyFill="1" applyBorder="1" applyAlignment="1">
      <alignment horizontal="center" vertical="center" wrapText="1" shrinkToFit="1"/>
    </xf>
    <xf numFmtId="0" fontId="26" fillId="15" borderId="46" xfId="0" applyFont="1" applyFill="1" applyBorder="1" applyAlignment="1">
      <alignment horizontal="center" vertical="center" wrapText="1" shrinkToFit="1"/>
    </xf>
    <xf numFmtId="0" fontId="26" fillId="15" borderId="32" xfId="0" applyFont="1" applyFill="1" applyBorder="1" applyAlignment="1">
      <alignment horizontal="center" vertical="center" wrapText="1" shrinkToFit="1"/>
    </xf>
    <xf numFmtId="0" fontId="24" fillId="15" borderId="100" xfId="0" applyFont="1" applyFill="1" applyBorder="1" applyAlignment="1">
      <alignment horizontal="center" vertical="center"/>
    </xf>
    <xf numFmtId="0" fontId="24" fillId="15" borderId="82" xfId="0" applyFont="1" applyFill="1" applyBorder="1" applyAlignment="1">
      <alignment horizontal="center" vertical="center"/>
    </xf>
    <xf numFmtId="49" fontId="24" fillId="15" borderId="48" xfId="0" applyNumberFormat="1" applyFont="1" applyFill="1" applyBorder="1" applyAlignment="1">
      <alignment horizontal="center" vertical="center" shrinkToFit="1"/>
    </xf>
    <xf numFmtId="49" fontId="24" fillId="15" borderId="69" xfId="0" applyNumberFormat="1" applyFont="1" applyFill="1" applyBorder="1" applyAlignment="1">
      <alignment horizontal="center" vertical="center" shrinkToFit="1"/>
    </xf>
    <xf numFmtId="49" fontId="12" fillId="5" borderId="84" xfId="0" applyNumberFormat="1" applyFont="1" applyFill="1" applyBorder="1" applyAlignment="1">
      <alignment horizontal="center" vertical="center"/>
    </xf>
    <xf numFmtId="49" fontId="12" fillId="5" borderId="129" xfId="0" applyNumberFormat="1" applyFont="1" applyFill="1" applyBorder="1" applyAlignment="1">
      <alignment horizontal="center" vertical="center"/>
    </xf>
    <xf numFmtId="0" fontId="56" fillId="5" borderId="42" xfId="0" applyFont="1" applyFill="1" applyBorder="1" applyAlignment="1">
      <alignment horizontal="center" vertical="center" wrapText="1"/>
    </xf>
    <xf numFmtId="0" fontId="56" fillId="5" borderId="101" xfId="0" applyFont="1" applyFill="1" applyBorder="1" applyAlignment="1">
      <alignment horizontal="center" vertical="center" wrapText="1"/>
    </xf>
    <xf numFmtId="0" fontId="24" fillId="5" borderId="100" xfId="0" applyFont="1" applyFill="1" applyBorder="1" applyAlignment="1">
      <alignment horizontal="center" vertical="center"/>
    </xf>
    <xf numFmtId="0" fontId="24" fillId="5" borderId="82" xfId="0" applyFont="1" applyFill="1" applyBorder="1" applyAlignment="1">
      <alignment horizontal="center" vertical="center"/>
    </xf>
    <xf numFmtId="0" fontId="24" fillId="15" borderId="93" xfId="0" applyFont="1" applyFill="1" applyBorder="1" applyAlignment="1">
      <alignment horizontal="center" vertical="center" shrinkToFit="1"/>
    </xf>
    <xf numFmtId="0" fontId="24" fillId="15" borderId="94" xfId="0" applyFont="1" applyFill="1" applyBorder="1" applyAlignment="1">
      <alignment horizontal="center" vertical="center" shrinkToFit="1"/>
    </xf>
    <xf numFmtId="0" fontId="26" fillId="5" borderId="93" xfId="0" applyFont="1" applyFill="1" applyBorder="1" applyAlignment="1">
      <alignment horizontal="center" vertical="center"/>
    </xf>
    <xf numFmtId="0" fontId="26" fillId="5" borderId="77" xfId="0" applyFont="1" applyFill="1" applyBorder="1" applyAlignment="1">
      <alignment horizontal="center" vertical="center"/>
    </xf>
    <xf numFmtId="0" fontId="26" fillId="5" borderId="67" xfId="0" applyFont="1" applyFill="1" applyBorder="1" applyAlignment="1">
      <alignment horizontal="center" vertical="center"/>
    </xf>
    <xf numFmtId="0" fontId="26" fillId="5" borderId="88" xfId="0" applyFont="1" applyFill="1" applyBorder="1" applyAlignment="1">
      <alignment horizontal="center" vertical="center"/>
    </xf>
    <xf numFmtId="0" fontId="23" fillId="5" borderId="42" xfId="0" applyFont="1" applyFill="1" applyBorder="1" applyAlignment="1">
      <alignment horizontal="center" vertical="center" wrapText="1"/>
    </xf>
    <xf numFmtId="0" fontId="23" fillId="5" borderId="101" xfId="0" applyFont="1" applyFill="1" applyBorder="1" applyAlignment="1">
      <alignment horizontal="center" vertical="center" wrapText="1"/>
    </xf>
    <xf numFmtId="0" fontId="12" fillId="15" borderId="89" xfId="0" applyFont="1" applyFill="1" applyBorder="1" applyAlignment="1">
      <alignment horizontal="center" vertical="center" shrinkToFit="1"/>
    </xf>
    <xf numFmtId="0" fontId="12" fillId="15" borderId="184" xfId="0" applyFont="1" applyFill="1" applyBorder="1" applyAlignment="1">
      <alignment horizontal="center" vertical="center" shrinkToFit="1"/>
    </xf>
    <xf numFmtId="38" fontId="25" fillId="4" borderId="100" xfId="1" applyFont="1" applyFill="1" applyBorder="1" applyAlignment="1">
      <alignment horizontal="center" vertical="center" wrapText="1"/>
    </xf>
    <xf numFmtId="38" fontId="25" fillId="4" borderId="42" xfId="1" applyFont="1" applyFill="1" applyBorder="1" applyAlignment="1">
      <alignment horizontal="center" vertical="center" wrapText="1"/>
    </xf>
    <xf numFmtId="38" fontId="25" fillId="4" borderId="101" xfId="1" applyFont="1" applyFill="1" applyBorder="1" applyAlignment="1">
      <alignment horizontal="center" vertical="center" wrapText="1"/>
    </xf>
    <xf numFmtId="0" fontId="26" fillId="17" borderId="93" xfId="0" applyFont="1" applyFill="1" applyBorder="1" applyAlignment="1">
      <alignment horizontal="center" vertical="center" wrapText="1"/>
    </xf>
    <xf numFmtId="0" fontId="26" fillId="17" borderId="104" xfId="0" applyFont="1" applyFill="1" applyBorder="1" applyAlignment="1">
      <alignment horizontal="center" vertical="center"/>
    </xf>
    <xf numFmtId="0" fontId="26" fillId="17" borderId="29" xfId="0" applyFont="1" applyFill="1" applyBorder="1" applyAlignment="1">
      <alignment horizontal="center" vertical="center"/>
    </xf>
    <xf numFmtId="0" fontId="26" fillId="17" borderId="87" xfId="0" applyFont="1" applyFill="1" applyBorder="1" applyAlignment="1">
      <alignment horizontal="center" vertical="center"/>
    </xf>
    <xf numFmtId="0" fontId="26" fillId="17" borderId="94" xfId="0" applyFont="1" applyFill="1" applyBorder="1" applyAlignment="1">
      <alignment horizontal="center" vertical="center"/>
    </xf>
    <xf numFmtId="0" fontId="26" fillId="17" borderId="66" xfId="0" applyFont="1" applyFill="1" applyBorder="1" applyAlignment="1">
      <alignment horizontal="center" vertical="center"/>
    </xf>
    <xf numFmtId="0" fontId="0" fillId="0" borderId="119" xfId="0" applyBorder="1" applyAlignment="1">
      <alignment horizontal="center" vertical="center" wrapText="1"/>
    </xf>
    <xf numFmtId="0" fontId="0" fillId="0" borderId="104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87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43" fillId="5" borderId="45" xfId="0" applyFont="1" applyFill="1" applyBorder="1" applyAlignment="1">
      <alignment horizontal="center" vertical="center"/>
    </xf>
    <xf numFmtId="0" fontId="43" fillId="5" borderId="47" xfId="0" applyFont="1" applyFill="1" applyBorder="1" applyAlignment="1">
      <alignment horizontal="center" vertical="center"/>
    </xf>
    <xf numFmtId="0" fontId="43" fillId="5" borderId="90" xfId="0" applyFont="1" applyFill="1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66" xfId="0" applyBorder="1" applyAlignment="1">
      <alignment horizontal="center" vertical="center"/>
    </xf>
    <xf numFmtId="0" fontId="43" fillId="5" borderId="44" xfId="0" applyFont="1" applyFill="1" applyBorder="1" applyAlignment="1">
      <alignment horizontal="center" vertical="center"/>
    </xf>
    <xf numFmtId="0" fontId="43" fillId="5" borderId="73" xfId="0" applyFont="1" applyFill="1" applyBorder="1" applyAlignment="1">
      <alignment horizontal="center" vertical="center"/>
    </xf>
    <xf numFmtId="0" fontId="43" fillId="5" borderId="63" xfId="0" applyFont="1" applyFill="1" applyBorder="1" applyAlignment="1">
      <alignment horizontal="center" vertical="center"/>
    </xf>
    <xf numFmtId="0" fontId="43" fillId="0" borderId="111" xfId="0" applyFont="1" applyBorder="1" applyAlignment="1">
      <alignment horizontal="center" vertical="center"/>
    </xf>
    <xf numFmtId="0" fontId="43" fillId="0" borderId="157" xfId="0" applyFont="1" applyBorder="1" applyAlignment="1">
      <alignment horizontal="center" vertical="center"/>
    </xf>
    <xf numFmtId="0" fontId="43" fillId="0" borderId="112" xfId="0" applyFont="1" applyBorder="1" applyAlignment="1">
      <alignment horizontal="center" vertical="center"/>
    </xf>
    <xf numFmtId="0" fontId="17" fillId="17" borderId="93" xfId="2" applyFont="1" applyFill="1" applyBorder="1" applyAlignment="1">
      <alignment horizontal="center" vertical="center" wrapText="1"/>
    </xf>
    <xf numFmtId="0" fontId="17" fillId="17" borderId="104" xfId="2" applyFont="1" applyFill="1" applyBorder="1" applyAlignment="1">
      <alignment horizontal="center" vertical="center" wrapText="1"/>
    </xf>
    <xf numFmtId="0" fontId="17" fillId="17" borderId="29" xfId="2" applyFont="1" applyFill="1" applyBorder="1" applyAlignment="1">
      <alignment horizontal="center" vertical="center" wrapText="1"/>
    </xf>
    <xf numFmtId="0" fontId="17" fillId="17" borderId="87" xfId="2" applyFont="1" applyFill="1" applyBorder="1" applyAlignment="1">
      <alignment horizontal="center" vertical="center" wrapText="1"/>
    </xf>
    <xf numFmtId="0" fontId="17" fillId="17" borderId="94" xfId="2" applyFont="1" applyFill="1" applyBorder="1" applyAlignment="1">
      <alignment horizontal="center" vertical="center" wrapText="1"/>
    </xf>
    <xf numFmtId="0" fontId="17" fillId="17" borderId="66" xfId="2" applyFont="1" applyFill="1" applyBorder="1" applyAlignment="1">
      <alignment horizontal="center" vertical="center" wrapText="1"/>
    </xf>
    <xf numFmtId="0" fontId="2" fillId="0" borderId="113" xfId="2" applyBorder="1" applyAlignment="1">
      <alignment horizontal="center" vertical="center" wrapText="1"/>
    </xf>
    <xf numFmtId="0" fontId="2" fillId="0" borderId="114" xfId="2" applyBorder="1" applyAlignment="1">
      <alignment horizontal="center" vertical="center" wrapText="1"/>
    </xf>
    <xf numFmtId="0" fontId="7" fillId="11" borderId="115" xfId="2" applyFont="1" applyFill="1" applyBorder="1" applyAlignment="1">
      <alignment horizontal="center" vertical="center"/>
    </xf>
    <xf numFmtId="0" fontId="7" fillId="11" borderId="116" xfId="2" applyFont="1" applyFill="1" applyBorder="1" applyAlignment="1">
      <alignment horizontal="center" vertical="center"/>
    </xf>
    <xf numFmtId="0" fontId="7" fillId="11" borderId="117" xfId="2" applyFont="1" applyFill="1" applyBorder="1" applyAlignment="1">
      <alignment horizontal="center" vertical="center"/>
    </xf>
    <xf numFmtId="0" fontId="7" fillId="11" borderId="118" xfId="2" applyFont="1" applyFill="1" applyBorder="1" applyAlignment="1">
      <alignment horizontal="center" vertical="center"/>
    </xf>
    <xf numFmtId="0" fontId="2" fillId="0" borderId="46" xfId="2" applyBorder="1" applyAlignment="1">
      <alignment horizontal="center"/>
    </xf>
    <xf numFmtId="5" fontId="2" fillId="0" borderId="46" xfId="2" applyNumberFormat="1" applyBorder="1" applyAlignment="1">
      <alignment horizontal="center"/>
    </xf>
    <xf numFmtId="0" fontId="43" fillId="5" borderId="5" xfId="0" applyFont="1" applyFill="1" applyBorder="1" applyAlignment="1">
      <alignment horizontal="center" vertical="center"/>
    </xf>
    <xf numFmtId="0" fontId="43" fillId="5" borderId="46" xfId="0" applyFont="1" applyFill="1" applyBorder="1" applyAlignment="1">
      <alignment horizontal="center" vertical="center"/>
    </xf>
    <xf numFmtId="0" fontId="43" fillId="5" borderId="32" xfId="0" applyFont="1" applyFill="1" applyBorder="1" applyAlignment="1">
      <alignment horizontal="center" vertical="center"/>
    </xf>
    <xf numFmtId="0" fontId="43" fillId="5" borderId="36" xfId="0" applyFont="1" applyFill="1" applyBorder="1" applyAlignment="1">
      <alignment horizontal="center" vertical="center"/>
    </xf>
    <xf numFmtId="0" fontId="10" fillId="0" borderId="1" xfId="2" applyFont="1" applyBorder="1" applyAlignment="1">
      <alignment horizontal="left"/>
    </xf>
    <xf numFmtId="5" fontId="2" fillId="0" borderId="0" xfId="2" applyNumberFormat="1" applyAlignment="1">
      <alignment horizontal="center"/>
    </xf>
    <xf numFmtId="0" fontId="2" fillId="0" borderId="0" xfId="2" applyAlignment="1">
      <alignment horizontal="center"/>
    </xf>
    <xf numFmtId="0" fontId="26" fillId="0" borderId="93" xfId="0" applyFont="1" applyBorder="1" applyAlignment="1">
      <alignment horizontal="center" vertical="center"/>
    </xf>
    <xf numFmtId="0" fontId="26" fillId="0" borderId="104" xfId="0" applyFont="1" applyBorder="1" applyAlignment="1">
      <alignment horizontal="center" vertical="center"/>
    </xf>
    <xf numFmtId="0" fontId="26" fillId="0" borderId="94" xfId="0" applyFont="1" applyBorder="1" applyAlignment="1">
      <alignment horizontal="center" vertical="center"/>
    </xf>
    <xf numFmtId="0" fontId="26" fillId="0" borderId="66" xfId="0" applyFont="1" applyBorder="1" applyAlignment="1">
      <alignment horizontal="center" vertical="center"/>
    </xf>
    <xf numFmtId="0" fontId="11" fillId="0" borderId="198" xfId="0" applyFont="1" applyBorder="1" applyAlignment="1">
      <alignment horizontal="center" vertical="center"/>
    </xf>
    <xf numFmtId="0" fontId="11" fillId="0" borderId="199" xfId="0" applyFont="1" applyBorder="1" applyAlignment="1">
      <alignment horizontal="center" vertical="center"/>
    </xf>
    <xf numFmtId="0" fontId="11" fillId="0" borderId="200" xfId="0" applyFont="1" applyBorder="1" applyAlignment="1">
      <alignment horizontal="center" vertical="center"/>
    </xf>
    <xf numFmtId="0" fontId="11" fillId="0" borderId="201" xfId="0" applyFont="1" applyBorder="1" applyAlignment="1">
      <alignment horizontal="center" vertical="center"/>
    </xf>
    <xf numFmtId="0" fontId="11" fillId="0" borderId="202" xfId="0" applyFont="1" applyBorder="1" applyAlignment="1">
      <alignment horizontal="center" vertical="center"/>
    </xf>
    <xf numFmtId="0" fontId="11" fillId="0" borderId="203" xfId="0" applyFont="1" applyBorder="1" applyAlignment="1">
      <alignment horizontal="center" vertical="center"/>
    </xf>
    <xf numFmtId="0" fontId="0" fillId="0" borderId="48" xfId="0" applyBorder="1" applyAlignment="1">
      <alignment horizontal="center" vertical="center" wrapText="1"/>
    </xf>
    <xf numFmtId="0" fontId="0" fillId="0" borderId="69" xfId="0" applyBorder="1" applyAlignment="1">
      <alignment horizontal="center" vertical="center" wrapText="1"/>
    </xf>
    <xf numFmtId="0" fontId="0" fillId="0" borderId="62" xfId="0" applyBorder="1" applyAlignment="1">
      <alignment horizontal="center" vertical="center" wrapText="1"/>
    </xf>
    <xf numFmtId="0" fontId="0" fillId="0" borderId="66" xfId="0" applyBorder="1" applyAlignment="1">
      <alignment horizontal="center" vertical="center" wrapText="1"/>
    </xf>
    <xf numFmtId="0" fontId="9" fillId="5" borderId="50" xfId="2" applyFont="1" applyFill="1" applyBorder="1" applyAlignment="1">
      <alignment horizontal="center" vertical="center" shrinkToFit="1"/>
    </xf>
    <xf numFmtId="0" fontId="9" fillId="5" borderId="74" xfId="2" applyFont="1" applyFill="1" applyBorder="1" applyAlignment="1">
      <alignment horizontal="center" vertical="center" shrinkToFit="1"/>
    </xf>
    <xf numFmtId="0" fontId="9" fillId="5" borderId="120" xfId="2" applyFont="1" applyFill="1" applyBorder="1" applyAlignment="1">
      <alignment horizontal="center" vertical="center" shrinkToFit="1"/>
    </xf>
    <xf numFmtId="0" fontId="9" fillId="5" borderId="181" xfId="2" applyFont="1" applyFill="1" applyBorder="1" applyAlignment="1">
      <alignment horizontal="center" vertical="center" shrinkToFit="1"/>
    </xf>
    <xf numFmtId="0" fontId="9" fillId="5" borderId="204" xfId="2" applyFont="1" applyFill="1" applyBorder="1" applyAlignment="1">
      <alignment horizontal="center" vertical="center" shrinkToFit="1"/>
    </xf>
    <xf numFmtId="0" fontId="9" fillId="5" borderId="205" xfId="2" applyFont="1" applyFill="1" applyBorder="1" applyAlignment="1">
      <alignment horizontal="center" vertical="center" shrinkToFit="1"/>
    </xf>
    <xf numFmtId="0" fontId="9" fillId="5" borderId="206" xfId="2" applyFont="1" applyFill="1" applyBorder="1" applyAlignment="1">
      <alignment horizontal="center" vertical="center" shrinkToFit="1"/>
    </xf>
    <xf numFmtId="0" fontId="9" fillId="3" borderId="124" xfId="2" applyFont="1" applyFill="1" applyBorder="1" applyAlignment="1">
      <alignment horizontal="center" vertical="center" shrinkToFit="1"/>
    </xf>
    <xf numFmtId="0" fontId="9" fillId="3" borderId="160" xfId="2" applyFont="1" applyFill="1" applyBorder="1" applyAlignment="1">
      <alignment horizontal="center" vertical="center" shrinkToFit="1"/>
    </xf>
    <xf numFmtId="0" fontId="9" fillId="3" borderId="125" xfId="2" applyFont="1" applyFill="1" applyBorder="1" applyAlignment="1">
      <alignment horizontal="center" vertical="center" shrinkToFit="1"/>
    </xf>
    <xf numFmtId="0" fontId="5" fillId="0" borderId="48" xfId="0" applyFont="1" applyBorder="1" applyAlignment="1">
      <alignment horizontal="center" vertical="center"/>
    </xf>
    <xf numFmtId="0" fontId="5" fillId="0" borderId="57" xfId="0" applyFont="1" applyBorder="1" applyAlignment="1">
      <alignment horizontal="center" vertical="center"/>
    </xf>
    <xf numFmtId="0" fontId="5" fillId="0" borderId="69" xfId="0" applyFont="1" applyBorder="1" applyAlignment="1">
      <alignment horizontal="center" vertical="center"/>
    </xf>
    <xf numFmtId="0" fontId="2" fillId="0" borderId="93" xfId="2" applyBorder="1" applyAlignment="1">
      <alignment horizontal="center" vertical="center"/>
    </xf>
    <xf numFmtId="0" fontId="2" fillId="0" borderId="67" xfId="2" applyBorder="1" applyAlignment="1">
      <alignment horizontal="center" vertical="center"/>
    </xf>
    <xf numFmtId="0" fontId="2" fillId="0" borderId="94" xfId="2" applyBorder="1" applyAlignment="1">
      <alignment horizontal="center" vertical="center"/>
    </xf>
    <xf numFmtId="0" fontId="2" fillId="0" borderId="68" xfId="2" applyBorder="1" applyAlignment="1">
      <alignment horizontal="center" vertical="center"/>
    </xf>
    <xf numFmtId="0" fontId="2" fillId="0" borderId="93" xfId="2" applyBorder="1" applyAlignment="1">
      <alignment horizontal="center" vertical="center" wrapText="1"/>
    </xf>
    <xf numFmtId="0" fontId="2" fillId="0" borderId="67" xfId="2" applyBorder="1" applyAlignment="1">
      <alignment horizontal="center" vertical="center" wrapText="1"/>
    </xf>
    <xf numFmtId="0" fontId="15" fillId="11" borderId="93" xfId="2" applyFont="1" applyFill="1" applyBorder="1" applyAlignment="1">
      <alignment horizontal="center" vertical="center"/>
    </xf>
    <xf numFmtId="0" fontId="15" fillId="2" borderId="67" xfId="2" applyFont="1" applyFill="1" applyBorder="1" applyAlignment="1">
      <alignment horizontal="center" vertical="center"/>
    </xf>
    <xf numFmtId="0" fontId="15" fillId="2" borderId="94" xfId="2" applyFont="1" applyFill="1" applyBorder="1" applyAlignment="1">
      <alignment horizontal="center" vertical="center"/>
    </xf>
    <xf numFmtId="0" fontId="15" fillId="2" borderId="68" xfId="2" applyFont="1" applyFill="1" applyBorder="1" applyAlignment="1">
      <alignment horizontal="center" vertical="center"/>
    </xf>
    <xf numFmtId="0" fontId="2" fillId="0" borderId="94" xfId="2" applyBorder="1" applyAlignment="1">
      <alignment horizontal="center" vertical="center" wrapText="1"/>
    </xf>
    <xf numFmtId="38" fontId="15" fillId="2" borderId="93" xfId="2" applyNumberFormat="1" applyFont="1" applyFill="1" applyBorder="1" applyAlignment="1">
      <alignment horizontal="center" vertical="center"/>
    </xf>
    <xf numFmtId="0" fontId="36" fillId="0" borderId="4" xfId="0" applyFont="1" applyBorder="1" applyAlignment="1">
      <alignment horizontal="center" vertical="center"/>
    </xf>
    <xf numFmtId="0" fontId="36" fillId="0" borderId="40" xfId="0" applyFont="1" applyBorder="1" applyAlignment="1">
      <alignment horizontal="center" vertical="center"/>
    </xf>
    <xf numFmtId="0" fontId="15" fillId="11" borderId="67" xfId="2" applyFont="1" applyFill="1" applyBorder="1" applyAlignment="1">
      <alignment horizontal="center" vertical="center"/>
    </xf>
    <xf numFmtId="0" fontId="15" fillId="11" borderId="94" xfId="2" applyFont="1" applyFill="1" applyBorder="1" applyAlignment="1">
      <alignment horizontal="center" vertical="center"/>
    </xf>
    <xf numFmtId="0" fontId="15" fillId="11" borderId="68" xfId="2" applyFont="1" applyFill="1" applyBorder="1" applyAlignment="1">
      <alignment horizontal="center" vertical="center"/>
    </xf>
    <xf numFmtId="0" fontId="26" fillId="0" borderId="77" xfId="0" applyFont="1" applyBorder="1" applyAlignment="1">
      <alignment horizontal="center" vertical="center"/>
    </xf>
    <xf numFmtId="0" fontId="26" fillId="0" borderId="29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6" fillId="0" borderId="87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9" fillId="5" borderId="111" xfId="2" applyFont="1" applyFill="1" applyBorder="1" applyAlignment="1">
      <alignment horizontal="center" vertical="center" shrinkToFit="1"/>
    </xf>
    <xf numFmtId="0" fontId="9" fillId="5" borderId="157" xfId="2" applyFont="1" applyFill="1" applyBorder="1" applyAlignment="1">
      <alignment horizontal="center" vertical="center" shrinkToFit="1"/>
    </xf>
    <xf numFmtId="0" fontId="9" fillId="5" borderId="112" xfId="2" applyFont="1" applyFill="1" applyBorder="1" applyAlignment="1">
      <alignment horizontal="center" vertical="center" shrinkToFit="1"/>
    </xf>
    <xf numFmtId="0" fontId="9" fillId="5" borderId="45" xfId="2" applyFont="1" applyFill="1" applyBorder="1" applyAlignment="1">
      <alignment horizontal="center" vertical="center" shrinkToFit="1"/>
    </xf>
    <xf numFmtId="0" fontId="9" fillId="5" borderId="47" xfId="2" applyFont="1" applyFill="1" applyBorder="1" applyAlignment="1">
      <alignment horizontal="center" vertical="center" shrinkToFit="1"/>
    </xf>
    <xf numFmtId="0" fontId="9" fillId="5" borderId="36" xfId="2" applyFont="1" applyFill="1" applyBorder="1" applyAlignment="1">
      <alignment horizontal="center" vertical="center" shrinkToFit="1"/>
    </xf>
    <xf numFmtId="0" fontId="64" fillId="18" borderId="191" xfId="2" applyFont="1" applyFill="1" applyBorder="1" applyAlignment="1">
      <alignment horizontal="center" vertical="center"/>
    </xf>
    <xf numFmtId="0" fontId="2" fillId="0" borderId="105" xfId="2" applyBorder="1" applyAlignment="1">
      <alignment horizontal="center" vertical="center"/>
    </xf>
    <xf numFmtId="0" fontId="2" fillId="0" borderId="107" xfId="2" applyBorder="1" applyAlignment="1">
      <alignment horizontal="center" vertical="center"/>
    </xf>
    <xf numFmtId="5" fontId="2" fillId="0" borderId="105" xfId="2" applyNumberFormat="1" applyBorder="1" applyAlignment="1">
      <alignment horizontal="center" vertical="center"/>
    </xf>
    <xf numFmtId="5" fontId="2" fillId="0" borderId="107" xfId="2" applyNumberFormat="1" applyBorder="1" applyAlignment="1">
      <alignment horizontal="center" vertical="center"/>
    </xf>
    <xf numFmtId="5" fontId="9" fillId="4" borderId="76" xfId="2" applyNumberFormat="1" applyFont="1" applyFill="1" applyBorder="1" applyAlignment="1">
      <alignment horizontal="center" vertical="center"/>
    </xf>
    <xf numFmtId="0" fontId="9" fillId="4" borderId="76" xfId="2" applyFont="1" applyFill="1" applyBorder="1" applyAlignment="1">
      <alignment horizontal="center" vertical="center"/>
    </xf>
    <xf numFmtId="0" fontId="9" fillId="4" borderId="121" xfId="2" applyFont="1" applyFill="1" applyBorder="1" applyAlignment="1">
      <alignment horizontal="center" vertical="center"/>
    </xf>
    <xf numFmtId="0" fontId="10" fillId="4" borderId="187" xfId="2" applyFont="1" applyFill="1" applyBorder="1" applyAlignment="1">
      <alignment horizontal="center" vertical="center"/>
    </xf>
    <xf numFmtId="0" fontId="10" fillId="4" borderId="188" xfId="2" applyFont="1" applyFill="1" applyBorder="1" applyAlignment="1">
      <alignment horizontal="center" vertical="center"/>
    </xf>
    <xf numFmtId="0" fontId="10" fillId="4" borderId="189" xfId="2" applyFont="1" applyFill="1" applyBorder="1" applyAlignment="1">
      <alignment horizontal="center" vertical="center"/>
    </xf>
    <xf numFmtId="5" fontId="2" fillId="0" borderId="47" xfId="2" applyNumberFormat="1" applyBorder="1" applyAlignment="1">
      <alignment horizontal="center"/>
    </xf>
    <xf numFmtId="0" fontId="9" fillId="3" borderId="59" xfId="2" applyFont="1" applyFill="1" applyBorder="1" applyAlignment="1">
      <alignment horizontal="center" vertical="center" shrinkToFit="1"/>
    </xf>
    <xf numFmtId="0" fontId="9" fillId="3" borderId="65" xfId="2" applyFont="1" applyFill="1" applyBorder="1" applyAlignment="1">
      <alignment horizontal="center" vertical="center" shrinkToFit="1"/>
    </xf>
    <xf numFmtId="0" fontId="11" fillId="0" borderId="8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9" fillId="3" borderId="16" xfId="2" applyFont="1" applyFill="1" applyBorder="1" applyAlignment="1">
      <alignment horizontal="center" vertical="center" shrinkToFit="1"/>
    </xf>
    <xf numFmtId="0" fontId="11" fillId="0" borderId="26" xfId="0" applyFont="1" applyBorder="1" applyAlignment="1">
      <alignment horizontal="center" vertical="center"/>
    </xf>
    <xf numFmtId="0" fontId="11" fillId="0" borderId="84" xfId="0" applyFont="1" applyBorder="1" applyAlignment="1">
      <alignment horizontal="center" vertical="center"/>
    </xf>
    <xf numFmtId="0" fontId="11" fillId="0" borderId="51" xfId="0" applyFont="1" applyBorder="1" applyAlignment="1">
      <alignment horizontal="center" vertical="center"/>
    </xf>
    <xf numFmtId="0" fontId="9" fillId="3" borderId="45" xfId="2" applyFont="1" applyFill="1" applyBorder="1" applyAlignment="1">
      <alignment horizontal="center" vertical="center" shrinkToFit="1"/>
    </xf>
    <xf numFmtId="0" fontId="9" fillId="3" borderId="47" xfId="2" applyFont="1" applyFill="1" applyBorder="1" applyAlignment="1">
      <alignment horizontal="center" vertical="center" shrinkToFit="1"/>
    </xf>
    <xf numFmtId="0" fontId="9" fillId="3" borderId="36" xfId="2" applyFont="1" applyFill="1" applyBorder="1" applyAlignment="1">
      <alignment horizontal="center" vertical="center" shrinkToFit="1"/>
    </xf>
    <xf numFmtId="0" fontId="9" fillId="3" borderId="3" xfId="2" applyFont="1" applyFill="1" applyBorder="1" applyAlignment="1">
      <alignment horizontal="center" vertical="center" shrinkToFit="1"/>
    </xf>
    <xf numFmtId="0" fontId="11" fillId="0" borderId="155" xfId="0" applyFont="1" applyBorder="1" applyAlignment="1">
      <alignment horizontal="center" vertical="center"/>
    </xf>
    <xf numFmtId="0" fontId="43" fillId="5" borderId="48" xfId="0" applyFont="1" applyFill="1" applyBorder="1" applyAlignment="1">
      <alignment horizontal="center" vertical="center"/>
    </xf>
    <xf numFmtId="0" fontId="43" fillId="5" borderId="57" xfId="0" applyFont="1" applyFill="1" applyBorder="1" applyAlignment="1">
      <alignment horizontal="center" vertical="center"/>
    </xf>
    <xf numFmtId="0" fontId="43" fillId="5" borderId="69" xfId="0" applyFont="1" applyFill="1" applyBorder="1" applyAlignment="1">
      <alignment horizontal="center" vertical="center"/>
    </xf>
    <xf numFmtId="0" fontId="43" fillId="0" borderId="124" xfId="0" applyFont="1" applyBorder="1" applyAlignment="1">
      <alignment horizontal="center" vertical="center"/>
    </xf>
    <xf numFmtId="0" fontId="43" fillId="0" borderId="160" xfId="0" applyFont="1" applyBorder="1" applyAlignment="1">
      <alignment horizontal="center" vertical="center"/>
    </xf>
    <xf numFmtId="0" fontId="43" fillId="0" borderId="125" xfId="0" applyFont="1" applyBorder="1" applyAlignment="1">
      <alignment horizontal="center" vertical="center"/>
    </xf>
    <xf numFmtId="0" fontId="43" fillId="5" borderId="83" xfId="0" applyFont="1" applyFill="1" applyBorder="1" applyAlignment="1">
      <alignment horizontal="center" vertical="center"/>
    </xf>
    <xf numFmtId="0" fontId="26" fillId="0" borderId="93" xfId="0" applyFont="1" applyBorder="1" applyAlignment="1">
      <alignment horizontal="center" vertical="center" wrapText="1"/>
    </xf>
    <xf numFmtId="0" fontId="26" fillId="0" borderId="104" xfId="0" applyFont="1" applyBorder="1" applyAlignment="1">
      <alignment horizontal="center" vertical="center" wrapText="1"/>
    </xf>
    <xf numFmtId="0" fontId="26" fillId="0" borderId="29" xfId="0" applyFont="1" applyBorder="1" applyAlignment="1">
      <alignment horizontal="center" vertical="center" wrapText="1"/>
    </xf>
    <xf numFmtId="0" fontId="26" fillId="0" borderId="87" xfId="0" applyFont="1" applyBorder="1" applyAlignment="1">
      <alignment horizontal="center" vertical="center" wrapText="1"/>
    </xf>
    <xf numFmtId="0" fontId="26" fillId="0" borderId="94" xfId="0" applyFont="1" applyBorder="1" applyAlignment="1">
      <alignment horizontal="center" vertical="center" wrapText="1"/>
    </xf>
    <xf numFmtId="0" fontId="26" fillId="0" borderId="66" xfId="0" applyFont="1" applyBorder="1" applyAlignment="1">
      <alignment horizontal="center" vertical="center" wrapText="1"/>
    </xf>
    <xf numFmtId="0" fontId="0" fillId="0" borderId="104" xfId="0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9" fillId="3" borderId="5" xfId="2" applyFont="1" applyFill="1" applyBorder="1" applyAlignment="1">
      <alignment horizontal="center" vertical="center" shrinkToFit="1"/>
    </xf>
    <xf numFmtId="0" fontId="43" fillId="5" borderId="3" xfId="0" applyFont="1" applyFill="1" applyBorder="1" applyAlignment="1">
      <alignment horizontal="center" vertical="center"/>
    </xf>
    <xf numFmtId="0" fontId="17" fillId="0" borderId="93" xfId="2" applyFont="1" applyBorder="1" applyAlignment="1">
      <alignment horizontal="center" vertical="center" wrapText="1"/>
    </xf>
    <xf numFmtId="0" fontId="17" fillId="0" borderId="104" xfId="2" applyFont="1" applyBorder="1" applyAlignment="1">
      <alignment horizontal="center" vertical="center"/>
    </xf>
    <xf numFmtId="0" fontId="17" fillId="0" borderId="29" xfId="2" applyFont="1" applyBorder="1" applyAlignment="1">
      <alignment horizontal="center" vertical="center"/>
    </xf>
    <xf numFmtId="0" fontId="17" fillId="0" borderId="87" xfId="2" applyFont="1" applyBorder="1" applyAlignment="1">
      <alignment horizontal="center" vertical="center"/>
    </xf>
    <xf numFmtId="0" fontId="17" fillId="0" borderId="94" xfId="2" applyFont="1" applyBorder="1" applyAlignment="1">
      <alignment horizontal="center" vertical="center"/>
    </xf>
    <xf numFmtId="0" fontId="17" fillId="0" borderId="66" xfId="2" applyFont="1" applyBorder="1" applyAlignment="1">
      <alignment horizontal="center" vertical="center"/>
    </xf>
    <xf numFmtId="0" fontId="39" fillId="0" borderId="45" xfId="0" applyFont="1" applyBorder="1" applyAlignment="1">
      <alignment horizontal="center" vertical="center" wrapText="1"/>
    </xf>
    <xf numFmtId="0" fontId="39" fillId="0" borderId="36" xfId="0" applyFont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17" fillId="0" borderId="126" xfId="2" applyFont="1" applyBorder="1" applyAlignment="1">
      <alignment horizontal="center" vertical="center"/>
    </xf>
    <xf numFmtId="0" fontId="17" fillId="0" borderId="190" xfId="2" applyFont="1" applyBorder="1" applyAlignment="1">
      <alignment horizontal="center" vertical="center"/>
    </xf>
    <xf numFmtId="0" fontId="0" fillId="0" borderId="30" xfId="0" applyBorder="1" applyAlignment="1">
      <alignment horizontal="center" vertical="center" wrapText="1"/>
    </xf>
    <xf numFmtId="0" fontId="0" fillId="0" borderId="87" xfId="0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0" fontId="0" fillId="0" borderId="60" xfId="0" applyBorder="1" applyAlignment="1">
      <alignment horizontal="center" vertical="center" wrapText="1"/>
    </xf>
    <xf numFmtId="0" fontId="5" fillId="0" borderId="83" xfId="0" applyFont="1" applyBorder="1" applyAlignment="1">
      <alignment horizontal="center" vertical="center"/>
    </xf>
    <xf numFmtId="0" fontId="11" fillId="0" borderId="129" xfId="0" applyFont="1" applyBorder="1" applyAlignment="1">
      <alignment horizontal="center" vertical="center"/>
    </xf>
    <xf numFmtId="0" fontId="8" fillId="0" borderId="1" xfId="2" applyFont="1" applyBorder="1" applyAlignment="1">
      <alignment horizontal="left" shrinkToFit="1"/>
    </xf>
    <xf numFmtId="0" fontId="0" fillId="0" borderId="119" xfId="0" applyBorder="1" applyAlignment="1">
      <alignment horizontal="center" vertical="center"/>
    </xf>
    <xf numFmtId="0" fontId="43" fillId="5" borderId="16" xfId="0" applyFont="1" applyFill="1" applyBorder="1" applyAlignment="1">
      <alignment horizontal="center" vertical="center"/>
    </xf>
    <xf numFmtId="0" fontId="43" fillId="5" borderId="60" xfId="0" applyFont="1" applyFill="1" applyBorder="1" applyAlignment="1">
      <alignment horizontal="center" vertical="center"/>
    </xf>
    <xf numFmtId="0" fontId="5" fillId="0" borderId="85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5" fillId="0" borderId="47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0" borderId="90" xfId="0" applyFont="1" applyBorder="1" applyAlignment="1">
      <alignment horizontal="center" vertical="center"/>
    </xf>
    <xf numFmtId="0" fontId="2" fillId="0" borderId="1" xfId="2" applyBorder="1" applyAlignment="1">
      <alignment horizontal="center"/>
    </xf>
    <xf numFmtId="0" fontId="43" fillId="5" borderId="50" xfId="0" applyFont="1" applyFill="1" applyBorder="1" applyAlignment="1">
      <alignment horizontal="center" vertical="center"/>
    </xf>
    <xf numFmtId="0" fontId="43" fillId="5" borderId="74" xfId="0" applyFont="1" applyFill="1" applyBorder="1" applyAlignment="1">
      <alignment horizontal="center" vertical="center"/>
    </xf>
    <xf numFmtId="0" fontId="43" fillId="5" borderId="120" xfId="0" applyFont="1" applyFill="1" applyBorder="1" applyAlignment="1">
      <alignment horizontal="center" vertical="center"/>
    </xf>
    <xf numFmtId="0" fontId="43" fillId="5" borderId="91" xfId="0" applyFont="1" applyFill="1" applyBorder="1" applyAlignment="1">
      <alignment horizontal="center" vertical="center"/>
    </xf>
    <xf numFmtId="0" fontId="43" fillId="5" borderId="72" xfId="0" applyFont="1" applyFill="1" applyBorder="1" applyAlignment="1">
      <alignment horizontal="center" vertical="center"/>
    </xf>
    <xf numFmtId="0" fontId="43" fillId="5" borderId="156" xfId="0" applyFont="1" applyFill="1" applyBorder="1" applyAlignment="1">
      <alignment horizontal="center" vertical="center"/>
    </xf>
    <xf numFmtId="0" fontId="16" fillId="11" borderId="115" xfId="2" applyFont="1" applyFill="1" applyBorder="1" applyAlignment="1">
      <alignment horizontal="center" vertical="center"/>
    </xf>
    <xf numFmtId="0" fontId="16" fillId="11" borderId="116" xfId="2" applyFont="1" applyFill="1" applyBorder="1" applyAlignment="1">
      <alignment horizontal="center" vertical="center"/>
    </xf>
    <xf numFmtId="0" fontId="16" fillId="11" borderId="117" xfId="2" applyFont="1" applyFill="1" applyBorder="1" applyAlignment="1">
      <alignment horizontal="center" vertical="center"/>
    </xf>
    <xf numFmtId="0" fontId="16" fillId="11" borderId="118" xfId="2" applyFont="1" applyFill="1" applyBorder="1" applyAlignment="1">
      <alignment horizontal="center" vertical="center"/>
    </xf>
    <xf numFmtId="0" fontId="12" fillId="0" borderId="113" xfId="2" applyFont="1" applyBorder="1" applyAlignment="1">
      <alignment horizontal="center" vertical="center" wrapText="1"/>
    </xf>
    <xf numFmtId="0" fontId="12" fillId="0" borderId="114" xfId="2" applyFont="1" applyBorder="1" applyAlignment="1">
      <alignment horizontal="center" vertical="center" wrapText="1"/>
    </xf>
    <xf numFmtId="0" fontId="9" fillId="0" borderId="108" xfId="2" applyFont="1" applyBorder="1" applyAlignment="1">
      <alignment horizontal="center" vertical="center"/>
    </xf>
    <xf numFmtId="0" fontId="9" fillId="0" borderId="110" xfId="2" applyFont="1" applyBorder="1" applyAlignment="1">
      <alignment horizontal="center" vertical="center"/>
    </xf>
    <xf numFmtId="0" fontId="9" fillId="0" borderId="109" xfId="2" applyFont="1" applyBorder="1" applyAlignment="1">
      <alignment horizontal="center" vertical="center"/>
    </xf>
    <xf numFmtId="0" fontId="43" fillId="5" borderId="190" xfId="0" applyFont="1" applyFill="1" applyBorder="1" applyAlignment="1">
      <alignment horizontal="center" vertical="center"/>
    </xf>
    <xf numFmtId="0" fontId="43" fillId="5" borderId="211" xfId="0" applyFont="1" applyFill="1" applyBorder="1" applyAlignment="1">
      <alignment horizontal="center" vertical="center"/>
    </xf>
    <xf numFmtId="0" fontId="11" fillId="0" borderId="48" xfId="0" applyFont="1" applyBorder="1" applyAlignment="1">
      <alignment horizontal="center" vertical="center"/>
    </xf>
    <xf numFmtId="0" fontId="11" fillId="0" borderId="57" xfId="0" applyFont="1" applyBorder="1" applyAlignment="1">
      <alignment horizontal="center" vertical="center"/>
    </xf>
    <xf numFmtId="0" fontId="9" fillId="2" borderId="43" xfId="2" applyFont="1" applyFill="1" applyBorder="1" applyAlignment="1">
      <alignment horizontal="center" vertical="center" shrinkToFit="1"/>
    </xf>
    <xf numFmtId="0" fontId="9" fillId="2" borderId="41" xfId="2" applyFont="1" applyFill="1" applyBorder="1" applyAlignment="1">
      <alignment horizontal="center" vertical="center" shrinkToFit="1"/>
    </xf>
    <xf numFmtId="0" fontId="9" fillId="2" borderId="79" xfId="2" applyFont="1" applyFill="1" applyBorder="1" applyAlignment="1">
      <alignment horizontal="center" vertical="center" shrinkToFit="1"/>
    </xf>
    <xf numFmtId="0" fontId="9" fillId="2" borderId="52" xfId="2" applyFont="1" applyFill="1" applyBorder="1" applyAlignment="1">
      <alignment horizontal="center" vertical="center" shrinkToFit="1"/>
    </xf>
    <xf numFmtId="0" fontId="11" fillId="0" borderId="100" xfId="0" applyFont="1" applyBorder="1" applyAlignment="1">
      <alignment horizontal="center" vertical="center"/>
    </xf>
    <xf numFmtId="0" fontId="11" fillId="0" borderId="101" xfId="0" applyFont="1" applyBorder="1" applyAlignment="1">
      <alignment horizontal="center" vertical="center"/>
    </xf>
    <xf numFmtId="0" fontId="10" fillId="5" borderId="65" xfId="2" applyFont="1" applyFill="1" applyBorder="1" applyAlignment="1">
      <alignment horizontal="center" vertical="center" shrinkToFit="1"/>
    </xf>
    <xf numFmtId="0" fontId="10" fillId="5" borderId="62" xfId="2" applyFont="1" applyFill="1" applyBorder="1" applyAlignment="1">
      <alignment horizontal="center" vertical="center" shrinkToFit="1"/>
    </xf>
    <xf numFmtId="0" fontId="10" fillId="5" borderId="16" xfId="2" applyFont="1" applyFill="1" applyBorder="1" applyAlignment="1">
      <alignment horizontal="center" vertical="center" shrinkToFit="1"/>
    </xf>
    <xf numFmtId="0" fontId="10" fillId="5" borderId="5" xfId="2" applyFont="1" applyFill="1" applyBorder="1" applyAlignment="1">
      <alignment horizontal="center" vertical="center" shrinkToFit="1"/>
    </xf>
    <xf numFmtId="0" fontId="8" fillId="0" borderId="1" xfId="2" applyFont="1" applyBorder="1" applyAlignment="1">
      <alignment horizontal="center"/>
    </xf>
    <xf numFmtId="0" fontId="11" fillId="0" borderId="42" xfId="0" applyFont="1" applyBorder="1" applyAlignment="1">
      <alignment horizontal="center" vertical="center"/>
    </xf>
    <xf numFmtId="0" fontId="2" fillId="0" borderId="1" xfId="2" applyBorder="1" applyAlignment="1">
      <alignment horizontal="center" wrapText="1"/>
    </xf>
    <xf numFmtId="0" fontId="8" fillId="0" borderId="106" xfId="2" applyFont="1" applyBorder="1" applyAlignment="1">
      <alignment horizontal="center" shrinkToFit="1"/>
    </xf>
    <xf numFmtId="0" fontId="7" fillId="0" borderId="105" xfId="2" applyFont="1" applyBorder="1" applyAlignment="1">
      <alignment horizontal="center" vertical="center"/>
    </xf>
    <xf numFmtId="0" fontId="7" fillId="0" borderId="106" xfId="2" applyFont="1" applyBorder="1" applyAlignment="1">
      <alignment horizontal="center" vertical="center"/>
    </xf>
    <xf numFmtId="0" fontId="7" fillId="0" borderId="107" xfId="2" applyFont="1" applyBorder="1" applyAlignment="1">
      <alignment horizontal="center" vertical="center"/>
    </xf>
    <xf numFmtId="0" fontId="8" fillId="0" borderId="108" xfId="2" applyFont="1" applyBorder="1" applyAlignment="1">
      <alignment horizontal="center" vertical="center"/>
    </xf>
    <xf numFmtId="0" fontId="8" fillId="0" borderId="109" xfId="2" applyFont="1" applyBorder="1" applyAlignment="1">
      <alignment horizontal="center" vertical="center"/>
    </xf>
    <xf numFmtId="0" fontId="0" fillId="0" borderId="122" xfId="0" applyBorder="1" applyAlignment="1">
      <alignment horizontal="center" vertical="center"/>
    </xf>
    <xf numFmtId="0" fontId="0" fillId="0" borderId="123" xfId="0" applyBorder="1" applyAlignment="1">
      <alignment horizontal="center" vertical="center"/>
    </xf>
    <xf numFmtId="0" fontId="2" fillId="0" borderId="186" xfId="2" applyBorder="1" applyAlignment="1">
      <alignment horizontal="center" vertical="center"/>
    </xf>
    <xf numFmtId="0" fontId="2" fillId="0" borderId="106" xfId="2" applyBorder="1" applyAlignment="1">
      <alignment horizontal="center" vertical="center"/>
    </xf>
    <xf numFmtId="0" fontId="2" fillId="0" borderId="185" xfId="2" applyBorder="1" applyAlignment="1">
      <alignment horizontal="center" vertical="center"/>
    </xf>
    <xf numFmtId="0" fontId="0" fillId="0" borderId="98" xfId="0" applyBorder="1" applyAlignment="1">
      <alignment horizontal="center" vertical="center"/>
    </xf>
    <xf numFmtId="0" fontId="0" fillId="0" borderId="99" xfId="0" applyBorder="1" applyAlignment="1">
      <alignment horizontal="center" vertical="center"/>
    </xf>
    <xf numFmtId="0" fontId="43" fillId="5" borderId="158" xfId="0" applyFont="1" applyFill="1" applyBorder="1" applyAlignment="1">
      <alignment horizontal="center" vertical="center"/>
    </xf>
    <xf numFmtId="0" fontId="43" fillId="5" borderId="159" xfId="0" applyFont="1" applyFill="1" applyBorder="1" applyAlignment="1">
      <alignment horizontal="center" vertical="center"/>
    </xf>
    <xf numFmtId="0" fontId="53" fillId="0" borderId="192" xfId="2" applyFont="1" applyBorder="1" applyAlignment="1">
      <alignment horizontal="center" vertical="center"/>
    </xf>
    <xf numFmtId="0" fontId="53" fillId="0" borderId="193" xfId="2" applyFont="1" applyBorder="1" applyAlignment="1">
      <alignment horizontal="center" vertical="center"/>
    </xf>
    <xf numFmtId="0" fontId="2" fillId="0" borderId="196" xfId="2" applyBorder="1" applyAlignment="1" applyProtection="1">
      <alignment horizontal="center" vertical="center"/>
      <protection locked="0"/>
    </xf>
    <xf numFmtId="0" fontId="2" fillId="0" borderId="223" xfId="2" applyBorder="1" applyAlignment="1" applyProtection="1">
      <alignment horizontal="center" vertical="center"/>
      <protection locked="0"/>
    </xf>
    <xf numFmtId="5" fontId="2" fillId="0" borderId="196" xfId="2" applyNumberFormat="1" applyBorder="1" applyAlignment="1">
      <alignment horizontal="center" vertical="center"/>
    </xf>
    <xf numFmtId="5" fontId="2" fillId="0" borderId="193" xfId="2" applyNumberFormat="1" applyBorder="1" applyAlignment="1">
      <alignment horizontal="center" vertical="center"/>
    </xf>
    <xf numFmtId="5" fontId="2" fillId="0" borderId="197" xfId="2" applyNumberFormat="1" applyBorder="1" applyAlignment="1">
      <alignment horizontal="center" vertical="center"/>
    </xf>
    <xf numFmtId="0" fontId="43" fillId="5" borderId="59" xfId="0" applyFont="1" applyFill="1" applyBorder="1" applyAlignment="1">
      <alignment horizontal="center" vertical="center"/>
    </xf>
    <xf numFmtId="0" fontId="9" fillId="3" borderId="62" xfId="2" applyFont="1" applyFill="1" applyBorder="1" applyAlignment="1">
      <alignment horizontal="center" vertical="center" shrinkToFit="1"/>
    </xf>
    <xf numFmtId="0" fontId="9" fillId="3" borderId="44" xfId="2" applyFont="1" applyFill="1" applyBorder="1" applyAlignment="1">
      <alignment horizontal="center" vertical="center" shrinkToFit="1"/>
    </xf>
    <xf numFmtId="0" fontId="9" fillId="3" borderId="73" xfId="2" applyFont="1" applyFill="1" applyBorder="1" applyAlignment="1">
      <alignment horizontal="center" vertical="center" shrinkToFit="1"/>
    </xf>
    <xf numFmtId="0" fontId="9" fillId="3" borderId="60" xfId="2" applyFont="1" applyFill="1" applyBorder="1" applyAlignment="1">
      <alignment horizontal="center" vertical="center" shrinkToFit="1"/>
    </xf>
    <xf numFmtId="0" fontId="9" fillId="3" borderId="63" xfId="2" applyFont="1" applyFill="1" applyBorder="1" applyAlignment="1">
      <alignment horizontal="center" vertical="center" shrinkToFit="1"/>
    </xf>
    <xf numFmtId="0" fontId="10" fillId="0" borderId="1" xfId="2" applyFont="1" applyBorder="1" applyAlignment="1">
      <alignment horizontal="left" shrinkToFit="1"/>
    </xf>
    <xf numFmtId="0" fontId="10" fillId="0" borderId="1" xfId="2" applyFont="1" applyBorder="1" applyAlignment="1">
      <alignment horizontal="left" indent="1"/>
    </xf>
    <xf numFmtId="0" fontId="54" fillId="0" borderId="105" xfId="2" applyFont="1" applyBorder="1" applyAlignment="1">
      <alignment horizontal="center"/>
    </xf>
    <xf numFmtId="0" fontId="54" fillId="0" borderId="106" xfId="2" applyFont="1" applyBorder="1" applyAlignment="1">
      <alignment horizontal="center"/>
    </xf>
    <xf numFmtId="0" fontId="54" fillId="0" borderId="107" xfId="2" applyFont="1" applyBorder="1" applyAlignment="1">
      <alignment horizontal="center"/>
    </xf>
    <xf numFmtId="0" fontId="17" fillId="0" borderId="104" xfId="2" applyFont="1" applyBorder="1" applyAlignment="1">
      <alignment horizontal="center" vertical="center" wrapText="1"/>
    </xf>
    <xf numFmtId="0" fontId="17" fillId="0" borderId="29" xfId="2" applyFont="1" applyBorder="1" applyAlignment="1">
      <alignment horizontal="center" vertical="center" wrapText="1"/>
    </xf>
    <xf numFmtId="0" fontId="17" fillId="0" borderId="87" xfId="2" applyFont="1" applyBorder="1" applyAlignment="1">
      <alignment horizontal="center" vertical="center" wrapText="1"/>
    </xf>
    <xf numFmtId="0" fontId="17" fillId="0" borderId="94" xfId="2" applyFont="1" applyBorder="1" applyAlignment="1">
      <alignment horizontal="center" vertical="center" wrapText="1"/>
    </xf>
    <xf numFmtId="0" fontId="17" fillId="0" borderId="66" xfId="2" applyFont="1" applyBorder="1" applyAlignment="1">
      <alignment horizontal="center" vertical="center" wrapText="1"/>
    </xf>
    <xf numFmtId="0" fontId="9" fillId="5" borderId="90" xfId="2" applyFont="1" applyFill="1" applyBorder="1" applyAlignment="1">
      <alignment horizontal="center" vertical="center" shrinkToFit="1"/>
    </xf>
    <xf numFmtId="0" fontId="2" fillId="0" borderId="215" xfId="2" applyBorder="1" applyAlignment="1">
      <alignment horizontal="center" vertical="center" wrapText="1"/>
    </xf>
    <xf numFmtId="0" fontId="2" fillId="0" borderId="216" xfId="2" applyBorder="1" applyAlignment="1">
      <alignment horizontal="center" vertical="center" wrapText="1"/>
    </xf>
    <xf numFmtId="0" fontId="2" fillId="0" borderId="217" xfId="2" applyBorder="1" applyAlignment="1">
      <alignment horizontal="center" vertical="center" wrapText="1"/>
    </xf>
    <xf numFmtId="0" fontId="2" fillId="0" borderId="218" xfId="2" applyBorder="1" applyAlignment="1">
      <alignment horizontal="center" vertical="center" wrapText="1"/>
    </xf>
    <xf numFmtId="0" fontId="2" fillId="0" borderId="0" xfId="2" applyAlignment="1">
      <alignment horizontal="center" vertical="center" wrapText="1"/>
    </xf>
    <xf numFmtId="0" fontId="9" fillId="3" borderId="111" xfId="2" applyFont="1" applyFill="1" applyBorder="1" applyAlignment="1">
      <alignment horizontal="center" vertical="center" shrinkToFit="1"/>
    </xf>
    <xf numFmtId="0" fontId="9" fillId="3" borderId="157" xfId="2" applyFont="1" applyFill="1" applyBorder="1" applyAlignment="1">
      <alignment horizontal="center" vertical="center" shrinkToFit="1"/>
    </xf>
    <xf numFmtId="0" fontId="9" fillId="3" borderId="112" xfId="2" applyFont="1" applyFill="1" applyBorder="1" applyAlignment="1">
      <alignment horizontal="center" vertical="center" shrinkToFit="1"/>
    </xf>
    <xf numFmtId="0" fontId="9" fillId="3" borderId="90" xfId="2" applyFont="1" applyFill="1" applyBorder="1" applyAlignment="1">
      <alignment horizontal="center" vertical="center" shrinkToFit="1"/>
    </xf>
    <xf numFmtId="0" fontId="2" fillId="0" borderId="47" xfId="2" applyBorder="1" applyAlignment="1">
      <alignment horizontal="center"/>
    </xf>
    <xf numFmtId="38" fontId="0" fillId="0" borderId="45" xfId="1" applyFont="1" applyBorder="1" applyAlignment="1">
      <alignment horizontal="center" vertical="center"/>
    </xf>
    <xf numFmtId="38" fontId="0" fillId="0" borderId="47" xfId="1" applyFont="1" applyBorder="1" applyAlignment="1">
      <alignment horizontal="center" vertical="center"/>
    </xf>
    <xf numFmtId="38" fontId="0" fillId="0" borderId="36" xfId="1" applyFont="1" applyBorder="1" applyAlignment="1">
      <alignment horizontal="center" vertical="center"/>
    </xf>
    <xf numFmtId="38" fontId="22" fillId="0" borderId="45" xfId="1" applyFont="1" applyBorder="1" applyAlignment="1">
      <alignment horizontal="center" vertical="center"/>
    </xf>
    <xf numFmtId="38" fontId="22" fillId="0" borderId="47" xfId="1" applyFont="1" applyBorder="1" applyAlignment="1">
      <alignment horizontal="center" vertical="center"/>
    </xf>
    <xf numFmtId="38" fontId="22" fillId="0" borderId="36" xfId="1" applyFont="1" applyBorder="1" applyAlignment="1">
      <alignment horizontal="center" vertical="center"/>
    </xf>
    <xf numFmtId="38" fontId="22" fillId="0" borderId="169" xfId="1" applyFont="1" applyBorder="1" applyAlignment="1">
      <alignment horizontal="center" vertical="center"/>
    </xf>
    <xf numFmtId="38" fontId="22" fillId="0" borderId="170" xfId="1" applyFont="1" applyBorder="1" applyAlignment="1">
      <alignment horizontal="center" vertical="center"/>
    </xf>
    <xf numFmtId="38" fontId="22" fillId="0" borderId="171" xfId="1" applyFont="1" applyBorder="1" applyAlignment="1">
      <alignment horizontal="center" vertical="center"/>
    </xf>
    <xf numFmtId="0" fontId="0" fillId="12" borderId="3" xfId="0" applyFill="1" applyBorder="1" applyAlignment="1">
      <alignment horizontal="center" vertical="center"/>
    </xf>
    <xf numFmtId="0" fontId="11" fillId="0" borderId="128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9" fillId="3" borderId="86" xfId="2" applyFont="1" applyFill="1" applyBorder="1" applyAlignment="1">
      <alignment horizontal="center" vertical="center" shrinkToFit="1"/>
    </xf>
    <xf numFmtId="0" fontId="9" fillId="3" borderId="204" xfId="2" applyFont="1" applyFill="1" applyBorder="1" applyAlignment="1">
      <alignment horizontal="center" vertical="center" shrinkToFit="1"/>
    </xf>
    <xf numFmtId="0" fontId="9" fillId="3" borderId="205" xfId="2" applyFont="1" applyFill="1" applyBorder="1" applyAlignment="1">
      <alignment horizontal="center" vertical="center" shrinkToFit="1"/>
    </xf>
    <xf numFmtId="0" fontId="9" fillId="3" borderId="206" xfId="2" applyFont="1" applyFill="1" applyBorder="1" applyAlignment="1">
      <alignment horizontal="center" vertical="center" shrinkToFit="1"/>
    </xf>
    <xf numFmtId="0" fontId="9" fillId="3" borderId="50" xfId="2" applyFont="1" applyFill="1" applyBorder="1" applyAlignment="1">
      <alignment horizontal="center" vertical="center" shrinkToFit="1"/>
    </xf>
    <xf numFmtId="0" fontId="9" fillId="3" borderId="74" xfId="2" applyFont="1" applyFill="1" applyBorder="1" applyAlignment="1">
      <alignment horizontal="center" vertical="center" shrinkToFit="1"/>
    </xf>
    <xf numFmtId="0" fontId="9" fillId="3" borderId="120" xfId="2" applyFont="1" applyFill="1" applyBorder="1" applyAlignment="1">
      <alignment horizontal="center" vertical="center" shrinkToFit="1"/>
    </xf>
    <xf numFmtId="0" fontId="9" fillId="3" borderId="181" xfId="2" applyFont="1" applyFill="1" applyBorder="1" applyAlignment="1">
      <alignment horizontal="center" vertical="center" shrinkToFit="1"/>
    </xf>
    <xf numFmtId="0" fontId="55" fillId="0" borderId="191" xfId="2" applyFont="1" applyBorder="1" applyAlignment="1">
      <alignment horizontal="center" vertical="center"/>
    </xf>
    <xf numFmtId="0" fontId="53" fillId="0" borderId="194" xfId="2" applyFont="1" applyBorder="1" applyAlignment="1">
      <alignment horizontal="center" vertical="center"/>
    </xf>
    <xf numFmtId="0" fontId="2" fillId="0" borderId="195" xfId="2" applyBorder="1" applyAlignment="1" applyProtection="1">
      <alignment horizontal="center" vertical="center"/>
      <protection locked="0"/>
    </xf>
    <xf numFmtId="0" fontId="2" fillId="0" borderId="193" xfId="2" applyBorder="1" applyAlignment="1" applyProtection="1">
      <alignment horizontal="center" vertical="center"/>
      <protection locked="0"/>
    </xf>
  </cellXfs>
  <cellStyles count="6">
    <cellStyle name="ハイパーリンク" xfId="5" builtinId="8"/>
    <cellStyle name="桁区切り" xfId="1" builtinId="6"/>
    <cellStyle name="標準" xfId="0" builtinId="0"/>
    <cellStyle name="標準 2" xfId="2" xr:uid="{00000000-0005-0000-0000-000002000000}"/>
    <cellStyle name="標準 3" xfId="3" xr:uid="{00000000-0005-0000-0000-000003000000}"/>
    <cellStyle name="標準 4" xfId="4" xr:uid="{00000000-0005-0000-0000-000004000000}"/>
  </cellStyles>
  <dxfs count="70"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none">
          <bgColor auto="1"/>
        </patternFill>
      </fill>
    </dxf>
    <dxf>
      <fill>
        <patternFill>
          <bgColor theme="0" tint="-0.499984740745262"/>
        </patternFill>
      </fill>
    </dxf>
    <dxf>
      <fill>
        <patternFill patternType="none">
          <bgColor auto="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none">
          <bgColor auto="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none">
          <bgColor auto="1"/>
        </patternFill>
      </fill>
    </dxf>
    <dxf>
      <fill>
        <patternFill>
          <bgColor theme="0" tint="-0.499984740745262"/>
        </patternFill>
      </fill>
    </dxf>
    <dxf>
      <fill>
        <patternFill patternType="none">
          <bgColor auto="1"/>
        </patternFill>
      </fill>
    </dxf>
    <dxf>
      <fill>
        <patternFill>
          <bgColor theme="0" tint="-0.499984740745262"/>
        </patternFill>
      </fill>
    </dxf>
    <dxf>
      <fill>
        <patternFill patternType="none">
          <bgColor auto="1"/>
        </patternFill>
      </fill>
    </dxf>
    <dxf>
      <fill>
        <patternFill>
          <bgColor theme="0" tint="-0.499984740745262"/>
        </patternFill>
      </fill>
    </dxf>
    <dxf>
      <font>
        <color rgb="FFFF0000"/>
      </font>
    </dxf>
    <dxf>
      <fill>
        <patternFill>
          <bgColor theme="0" tint="-0.499984740745262"/>
        </patternFill>
      </fill>
    </dxf>
    <dxf>
      <fill>
        <patternFill patternType="none">
          <bgColor auto="1"/>
        </patternFill>
      </fill>
    </dxf>
    <dxf>
      <fill>
        <patternFill>
          <bgColor theme="0" tint="-0.499984740745262"/>
        </patternFill>
      </fill>
    </dxf>
    <dxf>
      <fill>
        <patternFill patternType="none">
          <bgColor auto="1"/>
        </patternFill>
      </fill>
    </dxf>
    <dxf>
      <fill>
        <patternFill>
          <bgColor theme="0" tint="-0.499984740745262"/>
        </patternFill>
      </fill>
    </dxf>
    <dxf>
      <fill>
        <patternFill patternType="none">
          <bgColor auto="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0" tint="-0.499984740745262"/>
        </patternFill>
      </fill>
    </dxf>
    <dxf>
      <fill>
        <patternFill patternType="none">
          <bgColor auto="1"/>
        </patternFill>
      </fill>
    </dxf>
    <dxf>
      <fill>
        <patternFill>
          <bgColor theme="0" tint="-0.499984740745262"/>
        </patternFill>
      </fill>
    </dxf>
    <dxf>
      <font>
        <color rgb="FFFF0000"/>
      </font>
    </dxf>
    <dxf>
      <fill>
        <patternFill>
          <bgColor rgb="FFFFFF00"/>
        </patternFill>
      </fill>
    </dxf>
    <dxf>
      <font>
        <color auto="1"/>
      </font>
    </dxf>
    <dxf>
      <fill>
        <patternFill patternType="none">
          <bgColor auto="1"/>
        </patternFill>
      </fill>
    </dxf>
    <dxf>
      <fill>
        <patternFill>
          <fgColor theme="0"/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 tint="-0.499984740745262"/>
        </patternFill>
      </fill>
    </dxf>
    <dxf>
      <fill>
        <patternFill patternType="solid">
          <bgColor theme="0" tint="-0.499984740745262"/>
        </patternFill>
      </fill>
    </dxf>
  </dxfs>
  <tableStyles count="0" defaultTableStyle="TableStyleMedium2" defaultPivotStyle="PivotStyleLight16"/>
  <colors>
    <mruColors>
      <color rgb="FFFFFF99"/>
      <color rgb="FFCCFFFF"/>
      <color rgb="FFFFFFCC"/>
      <color rgb="FFFFCC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361950</xdr:colOff>
      <xdr:row>0</xdr:row>
      <xdr:rowOff>190500</xdr:rowOff>
    </xdr:from>
    <xdr:to>
      <xdr:col>14</xdr:col>
      <xdr:colOff>476252</xdr:colOff>
      <xdr:row>0</xdr:row>
      <xdr:rowOff>314327</xdr:rowOff>
    </xdr:to>
    <xdr:cxnSp macro="">
      <xdr:nvCxnSpPr>
        <xdr:cNvPr id="10" name="カギ線コネクタ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CxnSpPr/>
      </xdr:nvCxnSpPr>
      <xdr:spPr>
        <a:xfrm rot="10800000">
          <a:off x="9982200" y="190500"/>
          <a:ext cx="685802" cy="123827"/>
        </a:xfrm>
        <a:prstGeom prst="bentConnector3">
          <a:avLst>
            <a:gd name="adj1" fmla="val 0"/>
          </a:avLst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397669</xdr:colOff>
      <xdr:row>0</xdr:row>
      <xdr:rowOff>169068</xdr:rowOff>
    </xdr:from>
    <xdr:to>
      <xdr:col>18</xdr:col>
      <xdr:colOff>296138</xdr:colOff>
      <xdr:row>0</xdr:row>
      <xdr:rowOff>277068</xdr:rowOff>
    </xdr:to>
    <xdr:cxnSp macro="">
      <xdr:nvCxnSpPr>
        <xdr:cNvPr id="8" name="カギ線コネクタ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CxnSpPr/>
      </xdr:nvCxnSpPr>
      <xdr:spPr>
        <a:xfrm flipV="1">
          <a:off x="8370094" y="169068"/>
          <a:ext cx="717619" cy="108000"/>
        </a:xfrm>
        <a:prstGeom prst="bentConnector3">
          <a:avLst>
            <a:gd name="adj1" fmla="val 0"/>
          </a:avLst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675415</xdr:colOff>
      <xdr:row>0</xdr:row>
      <xdr:rowOff>177752</xdr:rowOff>
    </xdr:from>
    <xdr:to>
      <xdr:col>23</xdr:col>
      <xdr:colOff>97634</xdr:colOff>
      <xdr:row>0</xdr:row>
      <xdr:rowOff>285752</xdr:rowOff>
    </xdr:to>
    <xdr:cxnSp macro="">
      <xdr:nvCxnSpPr>
        <xdr:cNvPr id="11" name="カギ線コネクタ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CxnSpPr/>
      </xdr:nvCxnSpPr>
      <xdr:spPr>
        <a:xfrm rot="10800000">
          <a:off x="11924440" y="177752"/>
          <a:ext cx="717619" cy="108000"/>
        </a:xfrm>
        <a:prstGeom prst="bentConnector3">
          <a:avLst>
            <a:gd name="adj1" fmla="val 0"/>
          </a:avLst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0</xdr:colOff>
      <xdr:row>0</xdr:row>
      <xdr:rowOff>180975</xdr:rowOff>
    </xdr:from>
    <xdr:to>
      <xdr:col>29</xdr:col>
      <xdr:colOff>60300</xdr:colOff>
      <xdr:row>0</xdr:row>
      <xdr:rowOff>288975</xdr:rowOff>
    </xdr:to>
    <xdr:cxnSp macro="">
      <xdr:nvCxnSpPr>
        <xdr:cNvPr id="12" name="カギ線コネクタ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CxnSpPr/>
      </xdr:nvCxnSpPr>
      <xdr:spPr>
        <a:xfrm flipV="1">
          <a:off x="12544425" y="180975"/>
          <a:ext cx="2232000" cy="108000"/>
        </a:xfrm>
        <a:prstGeom prst="bentConnector3">
          <a:avLst>
            <a:gd name="adj1" fmla="val 1"/>
          </a:avLst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269081</xdr:colOff>
      <xdr:row>0</xdr:row>
      <xdr:rowOff>161925</xdr:rowOff>
    </xdr:from>
    <xdr:to>
      <xdr:col>10</xdr:col>
      <xdr:colOff>57581</xdr:colOff>
      <xdr:row>0</xdr:row>
      <xdr:rowOff>269925</xdr:rowOff>
    </xdr:to>
    <xdr:cxnSp macro="">
      <xdr:nvCxnSpPr>
        <xdr:cNvPr id="13" name="カギ線コネクタ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CxnSpPr/>
      </xdr:nvCxnSpPr>
      <xdr:spPr>
        <a:xfrm flipV="1">
          <a:off x="5955506" y="161925"/>
          <a:ext cx="360000" cy="108000"/>
        </a:xfrm>
        <a:prstGeom prst="bentConnector3">
          <a:avLst>
            <a:gd name="adj1" fmla="val 0"/>
          </a:avLst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509158</xdr:colOff>
      <xdr:row>0</xdr:row>
      <xdr:rowOff>170607</xdr:rowOff>
    </xdr:from>
    <xdr:to>
      <xdr:col>12</xdr:col>
      <xdr:colOff>297658</xdr:colOff>
      <xdr:row>0</xdr:row>
      <xdr:rowOff>278607</xdr:rowOff>
    </xdr:to>
    <xdr:cxnSp macro="">
      <xdr:nvCxnSpPr>
        <xdr:cNvPr id="14" name="カギ線コネクタ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CxnSpPr/>
      </xdr:nvCxnSpPr>
      <xdr:spPr>
        <a:xfrm rot="10800000">
          <a:off x="7452883" y="170607"/>
          <a:ext cx="302850" cy="108000"/>
        </a:xfrm>
        <a:prstGeom prst="bentConnector3">
          <a:avLst>
            <a:gd name="adj1" fmla="val 0"/>
          </a:avLst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523875</xdr:colOff>
      <xdr:row>0</xdr:row>
      <xdr:rowOff>178594</xdr:rowOff>
    </xdr:from>
    <xdr:to>
      <xdr:col>37</xdr:col>
      <xdr:colOff>264825</xdr:colOff>
      <xdr:row>0</xdr:row>
      <xdr:rowOff>286594</xdr:rowOff>
    </xdr:to>
    <xdr:cxnSp macro="">
      <xdr:nvCxnSpPr>
        <xdr:cNvPr id="15" name="カギ線コネクタ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CxnSpPr/>
      </xdr:nvCxnSpPr>
      <xdr:spPr>
        <a:xfrm flipH="1" flipV="1">
          <a:off x="16325850" y="178594"/>
          <a:ext cx="2808000" cy="108000"/>
        </a:xfrm>
        <a:prstGeom prst="bentConnector3">
          <a:avLst>
            <a:gd name="adj1" fmla="val 1"/>
          </a:avLst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361950</xdr:colOff>
      <xdr:row>0</xdr:row>
      <xdr:rowOff>190500</xdr:rowOff>
    </xdr:from>
    <xdr:to>
      <xdr:col>14</xdr:col>
      <xdr:colOff>476252</xdr:colOff>
      <xdr:row>0</xdr:row>
      <xdr:rowOff>314327</xdr:rowOff>
    </xdr:to>
    <xdr:cxnSp macro="">
      <xdr:nvCxnSpPr>
        <xdr:cNvPr id="2" name="カギ線コネクタ 9">
          <a:extLst>
            <a:ext uri="{FF2B5EF4-FFF2-40B4-BE49-F238E27FC236}">
              <a16:creationId xmlns:a16="http://schemas.microsoft.com/office/drawing/2014/main" id="{697B9E7E-21EE-4FAD-B0D1-7635F3A6334C}"/>
            </a:ext>
          </a:extLst>
        </xdr:cNvPr>
        <xdr:cNvCxnSpPr/>
      </xdr:nvCxnSpPr>
      <xdr:spPr>
        <a:xfrm rot="10800000">
          <a:off x="7955280" y="190500"/>
          <a:ext cx="0" cy="123827"/>
        </a:xfrm>
        <a:prstGeom prst="bentConnector3">
          <a:avLst>
            <a:gd name="adj1" fmla="val 0"/>
          </a:avLst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397669</xdr:colOff>
      <xdr:row>0</xdr:row>
      <xdr:rowOff>169068</xdr:rowOff>
    </xdr:from>
    <xdr:to>
      <xdr:col>18</xdr:col>
      <xdr:colOff>296138</xdr:colOff>
      <xdr:row>0</xdr:row>
      <xdr:rowOff>277068</xdr:rowOff>
    </xdr:to>
    <xdr:cxnSp macro="">
      <xdr:nvCxnSpPr>
        <xdr:cNvPr id="3" name="カギ線コネクタ 7">
          <a:extLst>
            <a:ext uri="{FF2B5EF4-FFF2-40B4-BE49-F238E27FC236}">
              <a16:creationId xmlns:a16="http://schemas.microsoft.com/office/drawing/2014/main" id="{8B7A404D-BC80-405F-8E8A-498B9E1F036D}"/>
            </a:ext>
          </a:extLst>
        </xdr:cNvPr>
        <xdr:cNvCxnSpPr/>
      </xdr:nvCxnSpPr>
      <xdr:spPr>
        <a:xfrm flipV="1">
          <a:off x="9709309" y="169068"/>
          <a:ext cx="637609" cy="108000"/>
        </a:xfrm>
        <a:prstGeom prst="bentConnector3">
          <a:avLst>
            <a:gd name="adj1" fmla="val 0"/>
          </a:avLst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675415</xdr:colOff>
      <xdr:row>0</xdr:row>
      <xdr:rowOff>177752</xdr:rowOff>
    </xdr:from>
    <xdr:to>
      <xdr:col>23</xdr:col>
      <xdr:colOff>97634</xdr:colOff>
      <xdr:row>0</xdr:row>
      <xdr:rowOff>285752</xdr:rowOff>
    </xdr:to>
    <xdr:cxnSp macro="">
      <xdr:nvCxnSpPr>
        <xdr:cNvPr id="4" name="カギ線コネクタ 10">
          <a:extLst>
            <a:ext uri="{FF2B5EF4-FFF2-40B4-BE49-F238E27FC236}">
              <a16:creationId xmlns:a16="http://schemas.microsoft.com/office/drawing/2014/main" id="{3F309AA8-9843-4C54-90F1-57ACE6DCE4BF}"/>
            </a:ext>
          </a:extLst>
        </xdr:cNvPr>
        <xdr:cNvCxnSpPr/>
      </xdr:nvCxnSpPr>
      <xdr:spPr>
        <a:xfrm rot="10800000">
          <a:off x="12943615" y="177752"/>
          <a:ext cx="588079" cy="108000"/>
        </a:xfrm>
        <a:prstGeom prst="bentConnector3">
          <a:avLst>
            <a:gd name="adj1" fmla="val 0"/>
          </a:avLst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0</xdr:colOff>
      <xdr:row>0</xdr:row>
      <xdr:rowOff>180975</xdr:rowOff>
    </xdr:from>
    <xdr:to>
      <xdr:col>29</xdr:col>
      <xdr:colOff>60300</xdr:colOff>
      <xdr:row>0</xdr:row>
      <xdr:rowOff>288975</xdr:rowOff>
    </xdr:to>
    <xdr:cxnSp macro="">
      <xdr:nvCxnSpPr>
        <xdr:cNvPr id="5" name="カギ線コネクタ 11">
          <a:extLst>
            <a:ext uri="{FF2B5EF4-FFF2-40B4-BE49-F238E27FC236}">
              <a16:creationId xmlns:a16="http://schemas.microsoft.com/office/drawing/2014/main" id="{BACB4D64-A2D6-4BC5-9FCE-31A2EE2C5170}"/>
            </a:ext>
          </a:extLst>
        </xdr:cNvPr>
        <xdr:cNvCxnSpPr/>
      </xdr:nvCxnSpPr>
      <xdr:spPr>
        <a:xfrm flipV="1">
          <a:off x="13860780" y="180975"/>
          <a:ext cx="2239620" cy="108000"/>
        </a:xfrm>
        <a:prstGeom prst="bentConnector3">
          <a:avLst>
            <a:gd name="adj1" fmla="val 1"/>
          </a:avLst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269081</xdr:colOff>
      <xdr:row>0</xdr:row>
      <xdr:rowOff>161925</xdr:rowOff>
    </xdr:from>
    <xdr:to>
      <xdr:col>10</xdr:col>
      <xdr:colOff>57581</xdr:colOff>
      <xdr:row>0</xdr:row>
      <xdr:rowOff>269925</xdr:rowOff>
    </xdr:to>
    <xdr:cxnSp macro="">
      <xdr:nvCxnSpPr>
        <xdr:cNvPr id="6" name="カギ線コネクタ 12">
          <a:extLst>
            <a:ext uri="{FF2B5EF4-FFF2-40B4-BE49-F238E27FC236}">
              <a16:creationId xmlns:a16="http://schemas.microsoft.com/office/drawing/2014/main" id="{1BED8971-95D9-46B8-8966-4C7BC6102C97}"/>
            </a:ext>
          </a:extLst>
        </xdr:cNvPr>
        <xdr:cNvCxnSpPr/>
      </xdr:nvCxnSpPr>
      <xdr:spPr>
        <a:xfrm flipV="1">
          <a:off x="6182201" y="161925"/>
          <a:ext cx="299040" cy="108000"/>
        </a:xfrm>
        <a:prstGeom prst="bentConnector3">
          <a:avLst>
            <a:gd name="adj1" fmla="val 0"/>
          </a:avLst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509158</xdr:colOff>
      <xdr:row>0</xdr:row>
      <xdr:rowOff>170607</xdr:rowOff>
    </xdr:from>
    <xdr:to>
      <xdr:col>12</xdr:col>
      <xdr:colOff>297658</xdr:colOff>
      <xdr:row>0</xdr:row>
      <xdr:rowOff>278607</xdr:rowOff>
    </xdr:to>
    <xdr:cxnSp macro="">
      <xdr:nvCxnSpPr>
        <xdr:cNvPr id="7" name="カギ線コネクタ 13">
          <a:extLst>
            <a:ext uri="{FF2B5EF4-FFF2-40B4-BE49-F238E27FC236}">
              <a16:creationId xmlns:a16="http://schemas.microsoft.com/office/drawing/2014/main" id="{0C4A2DC7-E487-4881-AEEF-F15C28F7DE70}"/>
            </a:ext>
          </a:extLst>
        </xdr:cNvPr>
        <xdr:cNvCxnSpPr/>
      </xdr:nvCxnSpPr>
      <xdr:spPr>
        <a:xfrm rot="10800000">
          <a:off x="7443358" y="170607"/>
          <a:ext cx="299040" cy="108000"/>
        </a:xfrm>
        <a:prstGeom prst="bentConnector3">
          <a:avLst>
            <a:gd name="adj1" fmla="val 0"/>
          </a:avLst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523875</xdr:colOff>
      <xdr:row>0</xdr:row>
      <xdr:rowOff>178594</xdr:rowOff>
    </xdr:from>
    <xdr:to>
      <xdr:col>37</xdr:col>
      <xdr:colOff>264825</xdr:colOff>
      <xdr:row>0</xdr:row>
      <xdr:rowOff>286594</xdr:rowOff>
    </xdr:to>
    <xdr:cxnSp macro="">
      <xdr:nvCxnSpPr>
        <xdr:cNvPr id="8" name="カギ線コネクタ 14">
          <a:extLst>
            <a:ext uri="{FF2B5EF4-FFF2-40B4-BE49-F238E27FC236}">
              <a16:creationId xmlns:a16="http://schemas.microsoft.com/office/drawing/2014/main" id="{FB2F53FF-6CD2-418C-B19B-2B2CF5F9F1B1}"/>
            </a:ext>
          </a:extLst>
        </xdr:cNvPr>
        <xdr:cNvCxnSpPr/>
      </xdr:nvCxnSpPr>
      <xdr:spPr>
        <a:xfrm flipH="1" flipV="1">
          <a:off x="17653635" y="178594"/>
          <a:ext cx="2819430" cy="108000"/>
        </a:xfrm>
        <a:prstGeom prst="bentConnector3">
          <a:avLst>
            <a:gd name="adj1" fmla="val 1"/>
          </a:avLst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390524</xdr:colOff>
      <xdr:row>133</xdr:row>
      <xdr:rowOff>171450</xdr:rowOff>
    </xdr:from>
    <xdr:to>
      <xdr:col>16</xdr:col>
      <xdr:colOff>128428</xdr:colOff>
      <xdr:row>138</xdr:row>
      <xdr:rowOff>47625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BF2DFEAD-9744-4ED5-9018-525BB05C93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33824" y="33737550"/>
          <a:ext cx="3578384" cy="14382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0181;&#20107;\&#23398;&#12288;&#12496;&#12488;&#12531;\&#26481;&#20140;&#37117;&#12496;&#12488;&#12531;&#21332;&#20250;\&#26481;&#20140;&#37117;&#12467;&#12531;&#12486;&#12473;&#12488;&#22320;&#21306;&#22823;&#20250;\&#12304;&#20840;&#22320;&#21306;&#20849;&#36890;&#12305;2022&#24180;&#24230;&#22320;&#21306;&#22823;&#20250;&#30003;&#36796;&#26360;(&#12371;&#12371;&#12395;&#22243;&#20307;&#21517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マクロ用"/>
      <sheetName val="団体情報・入力の仕方"/>
      <sheetName val="入力シート"/>
      <sheetName val="エントリー別人数表＆参加費申込書"/>
      <sheetName val="参照データ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>
        <row r="3">
          <cell r="B3" t="str">
            <v>茨城県</v>
          </cell>
        </row>
        <row r="4">
          <cell r="B4" t="str">
            <v>栃木県</v>
          </cell>
        </row>
        <row r="5">
          <cell r="B5" t="str">
            <v>群馬県</v>
          </cell>
        </row>
        <row r="6">
          <cell r="B6" t="str">
            <v>埼玉県</v>
          </cell>
        </row>
        <row r="7">
          <cell r="B7" t="str">
            <v>千葉県</v>
          </cell>
        </row>
        <row r="8">
          <cell r="B8" t="str">
            <v>東京都</v>
          </cell>
        </row>
        <row r="9">
          <cell r="B9" t="str">
            <v>神奈川県</v>
          </cell>
        </row>
      </sheetData>
      <sheetData sheetId="5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FF0000"/>
    <pageSetUpPr fitToPage="1"/>
  </sheetPr>
  <dimension ref="A1:W82"/>
  <sheetViews>
    <sheetView tabSelected="1" zoomScaleNormal="100" workbookViewId="0"/>
  </sheetViews>
  <sheetFormatPr defaultColWidth="9" defaultRowHeight="13.2" x14ac:dyDescent="0.2"/>
  <cols>
    <col min="1" max="1" width="4.109375" style="117" bestFit="1" customWidth="1"/>
    <col min="2" max="2" width="22.77734375" style="117" customWidth="1"/>
    <col min="3" max="15" width="9" style="117"/>
    <col min="16" max="23" width="9" style="117" hidden="1" customWidth="1"/>
    <col min="24" max="16384" width="9" style="117"/>
  </cols>
  <sheetData>
    <row r="1" spans="1:18" s="107" customFormat="1" ht="33.75" customHeight="1" x14ac:dyDescent="0.2">
      <c r="B1" s="645" t="s">
        <v>303</v>
      </c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  <c r="O1" s="108"/>
      <c r="P1" s="108"/>
      <c r="Q1" s="108"/>
      <c r="R1" s="108"/>
    </row>
    <row r="2" spans="1:18" s="107" customFormat="1" ht="33.75" customHeight="1" thickBot="1" x14ac:dyDescent="0.25">
      <c r="B2" s="109" t="s">
        <v>304</v>
      </c>
      <c r="C2" s="110" t="s">
        <v>305</v>
      </c>
      <c r="E2" s="111"/>
      <c r="F2" s="111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</row>
    <row r="3" spans="1:18" s="107" customFormat="1" ht="33.75" customHeight="1" thickBot="1" x14ac:dyDescent="0.25">
      <c r="B3" s="505" t="s">
        <v>721</v>
      </c>
      <c r="C3" s="639"/>
      <c r="D3" s="640"/>
      <c r="E3" s="641"/>
      <c r="F3" s="525" t="str">
        <f>IF(AND(($C$3="品川区大会"),($Q$3=3)),"【注意！】申し込みは東京都バトン協会所属団体のみとなります。","")</f>
        <v/>
      </c>
      <c r="G3" s="526"/>
      <c r="H3" s="526"/>
      <c r="I3" s="526"/>
      <c r="J3" s="526"/>
      <c r="K3" s="526"/>
      <c r="L3" s="526"/>
      <c r="M3" s="526"/>
      <c r="N3" s="526"/>
      <c r="O3" s="526"/>
      <c r="P3" s="108"/>
      <c r="Q3" s="108">
        <f>IF(C4="東京都",1,IF(C4="",2,3))</f>
        <v>2</v>
      </c>
      <c r="R3" s="108"/>
    </row>
    <row r="4" spans="1:18" s="107" customFormat="1" ht="33.75" customHeight="1" x14ac:dyDescent="0.2">
      <c r="B4" s="112" t="s">
        <v>306</v>
      </c>
      <c r="C4" s="646"/>
      <c r="D4" s="647"/>
      <c r="E4" s="648"/>
      <c r="F4" s="113" t="s">
        <v>307</v>
      </c>
      <c r="G4" s="649"/>
      <c r="H4" s="650"/>
      <c r="I4" s="651"/>
      <c r="J4" s="173"/>
      <c r="K4" s="174"/>
      <c r="L4" s="174"/>
      <c r="M4" s="174"/>
      <c r="N4" s="175"/>
      <c r="O4" s="108"/>
      <c r="P4" s="108"/>
      <c r="Q4" s="108"/>
      <c r="R4" s="108"/>
    </row>
    <row r="5" spans="1:18" s="107" customFormat="1" ht="33.75" customHeight="1" x14ac:dyDescent="0.2">
      <c r="B5" s="114" t="s">
        <v>34</v>
      </c>
      <c r="C5" s="633"/>
      <c r="D5" s="634"/>
      <c r="E5" s="634"/>
      <c r="F5" s="634"/>
      <c r="G5" s="634"/>
      <c r="H5" s="634"/>
      <c r="I5" s="635"/>
      <c r="J5" s="630" t="s">
        <v>308</v>
      </c>
      <c r="K5" s="630"/>
      <c r="L5" s="652"/>
      <c r="M5" s="652"/>
      <c r="N5" s="653"/>
      <c r="O5" s="115"/>
      <c r="P5" s="108"/>
      <c r="Q5" s="108"/>
      <c r="R5" s="108"/>
    </row>
    <row r="6" spans="1:18" s="107" customFormat="1" ht="33.75" customHeight="1" x14ac:dyDescent="0.2">
      <c r="B6" s="114" t="s">
        <v>428</v>
      </c>
      <c r="C6" s="629"/>
      <c r="D6" s="629"/>
      <c r="E6" s="629"/>
      <c r="F6" s="630" t="s">
        <v>429</v>
      </c>
      <c r="G6" s="630"/>
      <c r="H6" s="631"/>
      <c r="I6" s="631"/>
      <c r="J6" s="631"/>
      <c r="K6" s="631"/>
      <c r="L6" s="631"/>
      <c r="M6" s="631"/>
      <c r="N6" s="632"/>
      <c r="R6" s="108"/>
    </row>
    <row r="7" spans="1:18" s="107" customFormat="1" ht="33.75" customHeight="1" x14ac:dyDescent="0.2">
      <c r="B7" s="114" t="s">
        <v>309</v>
      </c>
      <c r="C7" s="633"/>
      <c r="D7" s="634"/>
      <c r="E7" s="634"/>
      <c r="F7" s="634"/>
      <c r="G7" s="635"/>
      <c r="H7" s="630" t="s">
        <v>310</v>
      </c>
      <c r="I7" s="630"/>
      <c r="J7" s="636"/>
      <c r="K7" s="637"/>
      <c r="L7" s="637"/>
      <c r="M7" s="637"/>
      <c r="N7" s="638"/>
      <c r="P7" s="108"/>
      <c r="Q7" s="108"/>
      <c r="R7" s="108"/>
    </row>
    <row r="8" spans="1:18" s="107" customFormat="1" ht="33.75" customHeight="1" x14ac:dyDescent="0.2">
      <c r="B8" s="114" t="s">
        <v>312</v>
      </c>
      <c r="C8" s="654"/>
      <c r="D8" s="655"/>
      <c r="E8" s="655"/>
      <c r="F8" s="655"/>
      <c r="G8" s="656"/>
      <c r="H8" s="657" t="s">
        <v>313</v>
      </c>
      <c r="I8" s="658"/>
      <c r="J8" s="636"/>
      <c r="K8" s="637"/>
      <c r="L8" s="637"/>
      <c r="M8" s="637"/>
      <c r="N8" s="638"/>
      <c r="O8" s="108"/>
    </row>
    <row r="9" spans="1:18" s="107" customFormat="1" ht="33" customHeight="1" x14ac:dyDescent="0.2">
      <c r="B9" s="116" t="s">
        <v>600</v>
      </c>
      <c r="C9" s="654"/>
      <c r="D9" s="655"/>
      <c r="E9" s="655"/>
      <c r="F9" s="655"/>
      <c r="G9" s="655"/>
      <c r="H9" s="655"/>
      <c r="I9" s="655"/>
      <c r="J9" s="655"/>
      <c r="K9" s="655"/>
      <c r="L9" s="655"/>
      <c r="M9" s="655"/>
      <c r="N9" s="659"/>
      <c r="O9" s="108"/>
      <c r="P9" s="108"/>
      <c r="Q9" s="108"/>
      <c r="R9" s="108"/>
    </row>
    <row r="10" spans="1:18" s="107" customFormat="1" ht="33.75" hidden="1" customHeight="1" x14ac:dyDescent="0.2">
      <c r="A10" s="410"/>
      <c r="B10" s="411" t="s">
        <v>601</v>
      </c>
      <c r="C10" s="660" t="s">
        <v>602</v>
      </c>
      <c r="D10" s="623"/>
      <c r="E10" s="626"/>
      <c r="F10" s="627"/>
      <c r="G10" s="628"/>
      <c r="H10" s="661" t="s">
        <v>603</v>
      </c>
      <c r="I10" s="662"/>
      <c r="J10" s="663"/>
      <c r="K10" s="626"/>
      <c r="L10" s="627"/>
      <c r="M10" s="628"/>
      <c r="N10" s="412"/>
      <c r="O10" s="108"/>
      <c r="P10" s="108"/>
      <c r="Q10" s="108"/>
      <c r="R10" s="108"/>
    </row>
    <row r="11" spans="1:18" s="107" customFormat="1" ht="33.75" customHeight="1" thickBot="1" x14ac:dyDescent="0.25">
      <c r="B11" s="413" t="s">
        <v>604</v>
      </c>
      <c r="C11" s="642"/>
      <c r="D11" s="643"/>
      <c r="E11" s="644"/>
      <c r="F11" s="664" t="str">
        <f>IF(C3="港区大会","自由演技団体にエントリーの団体はこちらもご入力ください。⇒",IF(C3="世田谷区大会","チームコンテストにエントリーの団体はこちらもご入力ください。⇒",""))</f>
        <v/>
      </c>
      <c r="G11" s="665"/>
      <c r="H11" s="665"/>
      <c r="I11" s="665"/>
      <c r="J11" s="665"/>
      <c r="K11" s="665"/>
      <c r="L11" s="665"/>
      <c r="M11" s="555" t="str">
        <f>IF(C3="港区大会",HYPERLINK("#C33","入力欄"),IF(C3="世田谷区大会",HYPERLINK("#C41","入力欄"),""))</f>
        <v/>
      </c>
      <c r="N11" s="414"/>
      <c r="O11" s="108"/>
      <c r="P11" s="108"/>
      <c r="Q11" s="526" t="str">
        <f>IF(C3="港区大会","自由演技",IF(C3="世田谷区大会","プレチームコンテスト",""))</f>
        <v/>
      </c>
      <c r="R11" s="108"/>
    </row>
    <row r="12" spans="1:18" s="107" customFormat="1" ht="1.5" customHeight="1" x14ac:dyDescent="0.2">
      <c r="A12" s="410"/>
      <c r="B12" s="614" t="s">
        <v>605</v>
      </c>
      <c r="C12" s="619" t="s">
        <v>606</v>
      </c>
      <c r="D12" s="619"/>
      <c r="E12" s="620"/>
      <c r="F12" s="621"/>
      <c r="G12" s="621"/>
      <c r="H12" s="622"/>
      <c r="I12" s="415"/>
      <c r="J12" s="415"/>
      <c r="K12" s="415"/>
      <c r="L12" s="415"/>
      <c r="M12" s="415"/>
      <c r="N12" s="416"/>
      <c r="O12" s="108"/>
      <c r="P12" s="108"/>
    </row>
    <row r="13" spans="1:18" s="107" customFormat="1" ht="33.75" hidden="1" customHeight="1" x14ac:dyDescent="0.2">
      <c r="A13" s="410"/>
      <c r="B13" s="614"/>
      <c r="C13" s="623" t="s">
        <v>607</v>
      </c>
      <c r="D13" s="623"/>
      <c r="E13" s="624"/>
      <c r="F13" s="624"/>
      <c r="G13" s="624"/>
      <c r="H13" s="415"/>
      <c r="I13" s="415"/>
      <c r="J13" s="415"/>
      <c r="K13" s="415"/>
      <c r="L13" s="415"/>
      <c r="M13" s="415"/>
      <c r="N13" s="416"/>
      <c r="O13" s="108"/>
      <c r="P13" s="108"/>
    </row>
    <row r="14" spans="1:18" s="107" customFormat="1" ht="33.75" hidden="1" customHeight="1" thickBot="1" x14ac:dyDescent="0.25">
      <c r="A14" s="410"/>
      <c r="B14" s="615"/>
      <c r="C14" s="625" t="s">
        <v>608</v>
      </c>
      <c r="D14" s="625"/>
      <c r="E14" s="616"/>
      <c r="F14" s="617"/>
      <c r="G14" s="617"/>
      <c r="H14" s="617"/>
      <c r="I14" s="617"/>
      <c r="J14" s="617"/>
      <c r="K14" s="617"/>
      <c r="L14" s="617"/>
      <c r="M14" s="617"/>
      <c r="N14" s="618"/>
      <c r="O14" s="108"/>
      <c r="P14" s="108"/>
    </row>
    <row r="15" spans="1:18" customFormat="1" ht="5.25" customHeight="1" thickBot="1" x14ac:dyDescent="0.25"/>
    <row r="16" spans="1:18" s="107" customFormat="1" ht="25.5" customHeight="1" x14ac:dyDescent="0.25">
      <c r="B16" s="592" t="s">
        <v>609</v>
      </c>
      <c r="C16" s="593"/>
      <c r="D16" s="593"/>
      <c r="E16" s="593"/>
      <c r="F16" s="593"/>
      <c r="G16" s="593"/>
      <c r="H16" s="593"/>
      <c r="I16" s="593"/>
      <c r="J16" s="593"/>
      <c r="K16" s="593"/>
      <c r="L16" s="593"/>
      <c r="M16" s="593"/>
      <c r="N16" s="594"/>
      <c r="O16" s="108"/>
      <c r="P16" s="108"/>
    </row>
    <row r="17" spans="1:16" s="107" customFormat="1" ht="33.75" customHeight="1" x14ac:dyDescent="0.2">
      <c r="B17" s="595" t="s">
        <v>598</v>
      </c>
      <c r="C17" s="596"/>
      <c r="D17" s="596"/>
      <c r="E17" s="596"/>
      <c r="F17" s="596"/>
      <c r="G17" s="596"/>
      <c r="H17" s="596"/>
      <c r="I17" s="596"/>
      <c r="J17" s="596"/>
      <c r="K17" s="596"/>
      <c r="L17" s="596"/>
      <c r="M17" s="596"/>
      <c r="N17" s="597"/>
      <c r="O17" s="108"/>
      <c r="P17" s="108"/>
    </row>
    <row r="18" spans="1:16" customFormat="1" ht="33.75" customHeight="1" thickBot="1" x14ac:dyDescent="0.25">
      <c r="B18" s="398" t="s">
        <v>552</v>
      </c>
      <c r="C18" s="598" t="s">
        <v>553</v>
      </c>
      <c r="D18" s="598"/>
      <c r="E18" s="599" t="s">
        <v>320</v>
      </c>
      <c r="F18" s="600"/>
      <c r="G18" s="601"/>
      <c r="H18" s="598" t="s">
        <v>554</v>
      </c>
      <c r="I18" s="598"/>
      <c r="J18" s="605" t="s">
        <v>555</v>
      </c>
      <c r="K18" s="606"/>
      <c r="L18" s="606"/>
      <c r="M18" s="606"/>
      <c r="N18" s="607"/>
    </row>
    <row r="19" spans="1:16" customFormat="1" ht="24" customHeight="1" thickTop="1" x14ac:dyDescent="0.2">
      <c r="B19" s="399" t="s">
        <v>610</v>
      </c>
      <c r="C19" s="602" t="s">
        <v>611</v>
      </c>
      <c r="D19" s="602"/>
      <c r="E19" s="403" t="s">
        <v>556</v>
      </c>
      <c r="F19" s="402" t="s">
        <v>612</v>
      </c>
      <c r="G19" s="400" t="s">
        <v>613</v>
      </c>
      <c r="H19" s="603" t="s">
        <v>557</v>
      </c>
      <c r="I19" s="604"/>
      <c r="J19" s="608" t="s">
        <v>558</v>
      </c>
      <c r="K19" s="609"/>
      <c r="L19" s="609"/>
      <c r="M19" s="609"/>
      <c r="N19" s="610"/>
    </row>
    <row r="20" spans="1:16" customFormat="1" ht="33.75" customHeight="1" x14ac:dyDescent="0.2">
      <c r="B20" s="397"/>
      <c r="C20" s="611"/>
      <c r="D20" s="611"/>
      <c r="E20" s="404"/>
      <c r="F20" s="405"/>
      <c r="G20" s="406"/>
      <c r="H20" s="612"/>
      <c r="I20" s="613"/>
      <c r="J20" s="586"/>
      <c r="K20" s="587"/>
      <c r="L20" s="587"/>
      <c r="M20" s="587"/>
      <c r="N20" s="588"/>
    </row>
    <row r="21" spans="1:16" customFormat="1" ht="33.75" customHeight="1" x14ac:dyDescent="0.2">
      <c r="B21" s="396"/>
      <c r="C21" s="589"/>
      <c r="D21" s="589"/>
      <c r="E21" s="404"/>
      <c r="F21" s="407"/>
      <c r="G21" s="408"/>
      <c r="H21" s="590"/>
      <c r="I21" s="591"/>
      <c r="J21" s="586"/>
      <c r="K21" s="587"/>
      <c r="L21" s="587"/>
      <c r="M21" s="587"/>
      <c r="N21" s="588"/>
    </row>
    <row r="22" spans="1:16" customFormat="1" ht="33.75" customHeight="1" x14ac:dyDescent="0.2">
      <c r="B22" s="396"/>
      <c r="C22" s="589"/>
      <c r="D22" s="589"/>
      <c r="E22" s="404"/>
      <c r="F22" s="407"/>
      <c r="G22" s="408"/>
      <c r="H22" s="590"/>
      <c r="I22" s="591"/>
      <c r="J22" s="586"/>
      <c r="K22" s="587"/>
      <c r="L22" s="587"/>
      <c r="M22" s="587"/>
      <c r="N22" s="588"/>
    </row>
    <row r="23" spans="1:16" customFormat="1" ht="33.75" customHeight="1" x14ac:dyDescent="0.2">
      <c r="B23" s="396"/>
      <c r="C23" s="589"/>
      <c r="D23" s="589"/>
      <c r="E23" s="404"/>
      <c r="F23" s="407"/>
      <c r="G23" s="408"/>
      <c r="H23" s="590"/>
      <c r="I23" s="591"/>
      <c r="J23" s="586"/>
      <c r="K23" s="587"/>
      <c r="L23" s="587"/>
      <c r="M23" s="587"/>
      <c r="N23" s="588"/>
    </row>
    <row r="24" spans="1:16" customFormat="1" ht="33.75" hidden="1" customHeight="1" x14ac:dyDescent="0.2">
      <c r="A24" s="417"/>
      <c r="B24" s="418"/>
      <c r="C24" s="580"/>
      <c r="D24" s="580"/>
      <c r="E24" s="389"/>
      <c r="F24" s="419"/>
      <c r="G24" s="420"/>
      <c r="H24" s="581"/>
      <c r="I24" s="582"/>
      <c r="J24" s="574"/>
      <c r="K24" s="575"/>
      <c r="L24" s="575"/>
      <c r="M24" s="575"/>
      <c r="N24" s="576"/>
    </row>
    <row r="25" spans="1:16" customFormat="1" ht="33.75" hidden="1" customHeight="1" x14ac:dyDescent="0.2">
      <c r="A25" s="417"/>
      <c r="B25" s="418"/>
      <c r="C25" s="580"/>
      <c r="D25" s="580"/>
      <c r="E25" s="389"/>
      <c r="F25" s="419"/>
      <c r="G25" s="420"/>
      <c r="H25" s="581"/>
      <c r="I25" s="582"/>
      <c r="J25" s="574"/>
      <c r="K25" s="575"/>
      <c r="L25" s="575"/>
      <c r="M25" s="575"/>
      <c r="N25" s="576"/>
    </row>
    <row r="26" spans="1:16" customFormat="1" ht="33.75" hidden="1" customHeight="1" x14ac:dyDescent="0.2">
      <c r="A26" s="417"/>
      <c r="B26" s="418"/>
      <c r="C26" s="580"/>
      <c r="D26" s="580"/>
      <c r="E26" s="389"/>
      <c r="F26" s="419"/>
      <c r="G26" s="420"/>
      <c r="H26" s="581"/>
      <c r="I26" s="582"/>
      <c r="J26" s="574"/>
      <c r="K26" s="575"/>
      <c r="L26" s="575"/>
      <c r="M26" s="575"/>
      <c r="N26" s="576"/>
    </row>
    <row r="27" spans="1:16" customFormat="1" ht="33.75" hidden="1" customHeight="1" x14ac:dyDescent="0.2">
      <c r="A27" s="417"/>
      <c r="B27" s="418"/>
      <c r="C27" s="580"/>
      <c r="D27" s="580"/>
      <c r="E27" s="389"/>
      <c r="F27" s="419"/>
      <c r="G27" s="420"/>
      <c r="H27" s="581"/>
      <c r="I27" s="582"/>
      <c r="J27" s="574"/>
      <c r="K27" s="575"/>
      <c r="L27" s="575"/>
      <c r="M27" s="575"/>
      <c r="N27" s="576"/>
    </row>
    <row r="28" spans="1:16" customFormat="1" ht="33.75" hidden="1" customHeight="1" x14ac:dyDescent="0.2">
      <c r="A28" s="417"/>
      <c r="B28" s="418"/>
      <c r="C28" s="580"/>
      <c r="D28" s="580"/>
      <c r="E28" s="389"/>
      <c r="F28" s="419"/>
      <c r="G28" s="420"/>
      <c r="H28" s="581"/>
      <c r="I28" s="582"/>
      <c r="J28" s="574"/>
      <c r="K28" s="575"/>
      <c r="L28" s="575"/>
      <c r="M28" s="575"/>
      <c r="N28" s="576"/>
    </row>
    <row r="29" spans="1:16" customFormat="1" ht="0.75" customHeight="1" thickBot="1" x14ac:dyDescent="0.25">
      <c r="A29" s="417"/>
      <c r="B29" s="421"/>
      <c r="C29" s="583"/>
      <c r="D29" s="583"/>
      <c r="E29" s="422"/>
      <c r="F29" s="423"/>
      <c r="G29" s="424"/>
      <c r="H29" s="584"/>
      <c r="I29" s="585"/>
      <c r="J29" s="577"/>
      <c r="K29" s="578"/>
      <c r="L29" s="578"/>
      <c r="M29" s="578"/>
      <c r="N29" s="579"/>
    </row>
    <row r="31" spans="1:16" s="107" customFormat="1" ht="33.75" customHeight="1" x14ac:dyDescent="0.2">
      <c r="B31" s="497" t="s">
        <v>894</v>
      </c>
      <c r="C31" s="498"/>
      <c r="D31" s="498"/>
      <c r="E31" s="498"/>
      <c r="F31" s="498"/>
      <c r="G31" s="498"/>
      <c r="H31" s="499"/>
      <c r="I31" s="499"/>
      <c r="J31" s="499"/>
      <c r="K31" s="499"/>
      <c r="L31" s="499"/>
      <c r="M31" s="499"/>
      <c r="N31" s="108"/>
      <c r="O31" s="108"/>
    </row>
    <row r="32" spans="1:16" s="107" customFormat="1" ht="22.35" customHeight="1" x14ac:dyDescent="0.2">
      <c r="B32" s="536" t="s">
        <v>893</v>
      </c>
      <c r="C32" s="573" t="s">
        <v>879</v>
      </c>
      <c r="D32" s="573"/>
      <c r="E32" s="573" t="s">
        <v>880</v>
      </c>
      <c r="F32" s="573"/>
      <c r="G32" s="560"/>
      <c r="H32" s="108"/>
      <c r="I32" s="108"/>
      <c r="J32" s="108"/>
      <c r="K32" s="108"/>
      <c r="L32" s="108"/>
      <c r="M32" s="108"/>
      <c r="N32" s="108"/>
      <c r="O32" s="108"/>
    </row>
    <row r="33" spans="1:23" s="107" customFormat="1" ht="33.75" customHeight="1" x14ac:dyDescent="0.2">
      <c r="B33" s="536" t="s">
        <v>693</v>
      </c>
      <c r="C33" s="573"/>
      <c r="D33" s="573"/>
      <c r="E33" s="573"/>
      <c r="F33" s="573"/>
      <c r="G33" s="538" t="s">
        <v>698</v>
      </c>
      <c r="H33" s="108"/>
      <c r="I33" s="108"/>
      <c r="J33" s="108"/>
      <c r="K33" s="108"/>
      <c r="L33" s="108"/>
      <c r="M33" s="108"/>
      <c r="N33" s="108"/>
      <c r="O33" s="108"/>
      <c r="P33" s="107">
        <f>E33</f>
        <v>0</v>
      </c>
      <c r="Q33" s="107" t="s">
        <v>709</v>
      </c>
      <c r="R33" s="107">
        <f>COUNTIF($C$33:$D$37,"ジュニア")</f>
        <v>0</v>
      </c>
      <c r="T33" s="107" t="str">
        <f>IF(E33="","",IF(E33&lt;5,5000,IF(E33&gt;10,10000,1000*E33)))</f>
        <v/>
      </c>
      <c r="U33" s="107" t="str">
        <f>IF(C33="ジュニア",T33,"")</f>
        <v/>
      </c>
      <c r="V33" s="107" t="str">
        <f>IF(C33="シニア",T33,"")</f>
        <v/>
      </c>
    </row>
    <row r="34" spans="1:23" s="107" customFormat="1" ht="33.75" customHeight="1" x14ac:dyDescent="0.2">
      <c r="B34" s="536" t="s">
        <v>694</v>
      </c>
      <c r="C34" s="573"/>
      <c r="D34" s="573"/>
      <c r="E34" s="573"/>
      <c r="F34" s="573"/>
      <c r="G34" s="538" t="s">
        <v>698</v>
      </c>
      <c r="H34" s="108"/>
      <c r="I34" s="108"/>
      <c r="J34" s="108"/>
      <c r="K34" s="108"/>
      <c r="L34" s="108"/>
      <c r="M34" s="108"/>
      <c r="N34" s="108"/>
      <c r="O34" s="108"/>
      <c r="P34" s="107">
        <f t="shared" ref="P34:P37" si="0">E34</f>
        <v>0</v>
      </c>
      <c r="Q34" s="107" t="s">
        <v>710</v>
      </c>
      <c r="R34" s="107">
        <f>COUNTIF($C$33:$D$37,"シニア")</f>
        <v>0</v>
      </c>
      <c r="T34" s="107" t="str">
        <f t="shared" ref="T34:T37" si="1">IF(E34="","",IF(E34&lt;5,5000,IF(E34&gt;10,10000,1000*E34)))</f>
        <v/>
      </c>
      <c r="U34" s="107" t="str">
        <f t="shared" ref="U34:U37" si="2">IF(C34="ジュニア",T34,"")</f>
        <v/>
      </c>
      <c r="V34" s="107" t="str">
        <f t="shared" ref="V34:V37" si="3">IF(C34="シニア",T34,"")</f>
        <v/>
      </c>
    </row>
    <row r="35" spans="1:23" s="107" customFormat="1" ht="33.75" customHeight="1" x14ac:dyDescent="0.2">
      <c r="B35" s="536" t="s">
        <v>695</v>
      </c>
      <c r="C35" s="573"/>
      <c r="D35" s="573"/>
      <c r="E35" s="573"/>
      <c r="F35" s="573"/>
      <c r="G35" s="538" t="s">
        <v>698</v>
      </c>
      <c r="H35" s="108"/>
      <c r="I35" s="108"/>
      <c r="J35" s="108"/>
      <c r="K35" s="108"/>
      <c r="L35" s="108"/>
      <c r="M35" s="108"/>
      <c r="N35" s="108"/>
      <c r="O35" s="108"/>
      <c r="P35" s="107">
        <f t="shared" si="0"/>
        <v>0</v>
      </c>
      <c r="T35" s="107" t="str">
        <f t="shared" si="1"/>
        <v/>
      </c>
      <c r="U35" s="107" t="str">
        <f t="shared" si="2"/>
        <v/>
      </c>
      <c r="V35" s="107" t="str">
        <f t="shared" si="3"/>
        <v/>
      </c>
    </row>
    <row r="36" spans="1:23" s="107" customFormat="1" ht="33.75" customHeight="1" x14ac:dyDescent="0.2">
      <c r="B36" s="536" t="s">
        <v>696</v>
      </c>
      <c r="C36" s="573"/>
      <c r="D36" s="573"/>
      <c r="E36" s="573"/>
      <c r="F36" s="573"/>
      <c r="G36" s="538" t="s">
        <v>698</v>
      </c>
      <c r="H36" s="108"/>
      <c r="I36" s="108"/>
      <c r="J36" s="108"/>
      <c r="K36" s="108"/>
      <c r="L36" s="108"/>
      <c r="M36" s="108"/>
      <c r="N36" s="108"/>
      <c r="O36" s="108"/>
      <c r="P36" s="107">
        <f t="shared" si="0"/>
        <v>0</v>
      </c>
      <c r="T36" s="107" t="str">
        <f t="shared" si="1"/>
        <v/>
      </c>
      <c r="U36" s="107" t="str">
        <f t="shared" si="2"/>
        <v/>
      </c>
      <c r="V36" s="107" t="str">
        <f t="shared" si="3"/>
        <v/>
      </c>
    </row>
    <row r="37" spans="1:23" s="107" customFormat="1" ht="33.75" customHeight="1" x14ac:dyDescent="0.2">
      <c r="B37" s="536" t="s">
        <v>697</v>
      </c>
      <c r="C37" s="573"/>
      <c r="D37" s="573"/>
      <c r="E37" s="573"/>
      <c r="F37" s="573"/>
      <c r="G37" s="538" t="s">
        <v>698</v>
      </c>
      <c r="H37" s="108"/>
      <c r="I37" s="108"/>
      <c r="J37" s="108"/>
      <c r="K37" s="108"/>
      <c r="L37" s="108"/>
      <c r="M37" s="108"/>
      <c r="N37" s="108"/>
      <c r="O37" s="108"/>
      <c r="P37" s="107">
        <f t="shared" si="0"/>
        <v>0</v>
      </c>
      <c r="T37" s="107" t="str">
        <f t="shared" si="1"/>
        <v/>
      </c>
      <c r="U37" s="107" t="str">
        <f t="shared" si="2"/>
        <v/>
      </c>
      <c r="V37" s="107" t="str">
        <f t="shared" si="3"/>
        <v/>
      </c>
    </row>
    <row r="38" spans="1:23" x14ac:dyDescent="0.2">
      <c r="P38" s="117">
        <f>SUM(P33:P37)</f>
        <v>0</v>
      </c>
      <c r="T38" s="117">
        <f>SUM(T33:T37)</f>
        <v>0</v>
      </c>
      <c r="U38" s="117">
        <f t="shared" ref="U38:V38" si="4">SUM(U33:U37)</f>
        <v>0</v>
      </c>
      <c r="V38" s="117">
        <f t="shared" si="4"/>
        <v>0</v>
      </c>
    </row>
    <row r="39" spans="1:23" s="107" customFormat="1" ht="33.75" customHeight="1" x14ac:dyDescent="0.2">
      <c r="B39" s="497" t="s">
        <v>878</v>
      </c>
      <c r="C39" s="498"/>
      <c r="D39" s="498"/>
      <c r="E39" s="498"/>
      <c r="F39" s="498"/>
      <c r="G39" s="498"/>
      <c r="H39" s="499"/>
      <c r="I39" s="499"/>
      <c r="J39" s="499"/>
      <c r="K39" s="499"/>
      <c r="L39" s="499"/>
      <c r="M39" s="499"/>
      <c r="N39" s="499"/>
      <c r="O39" s="108"/>
    </row>
    <row r="40" spans="1:23" s="107" customFormat="1" ht="33.75" customHeight="1" x14ac:dyDescent="0.2">
      <c r="B40" s="539"/>
      <c r="C40" s="573" t="s">
        <v>879</v>
      </c>
      <c r="D40" s="573"/>
      <c r="E40" s="537" t="s">
        <v>876</v>
      </c>
      <c r="F40" s="537" t="s">
        <v>880</v>
      </c>
      <c r="G40" s="540"/>
      <c r="H40" s="108"/>
      <c r="I40" s="108"/>
      <c r="J40" s="108"/>
      <c r="K40" s="108"/>
      <c r="L40" s="108"/>
      <c r="M40" s="108"/>
      <c r="N40" s="108"/>
      <c r="O40" s="108"/>
      <c r="V40" s="107" t="s">
        <v>678</v>
      </c>
      <c r="W40" s="107" t="s">
        <v>679</v>
      </c>
    </row>
    <row r="41" spans="1:23" s="107" customFormat="1" ht="33.75" customHeight="1" x14ac:dyDescent="0.2">
      <c r="B41" s="471" t="s">
        <v>693</v>
      </c>
      <c r="C41" s="666"/>
      <c r="D41" s="667"/>
      <c r="E41" s="554"/>
      <c r="F41" s="554"/>
      <c r="G41" s="527" t="s">
        <v>698</v>
      </c>
      <c r="H41" s="108"/>
      <c r="I41" s="108"/>
      <c r="J41" s="108"/>
      <c r="K41" s="108"/>
      <c r="L41" s="108"/>
      <c r="M41" s="108"/>
      <c r="N41" s="108"/>
      <c r="O41" s="108"/>
      <c r="P41" s="107">
        <f>F41</f>
        <v>0</v>
      </c>
      <c r="S41" s="107" t="s">
        <v>40</v>
      </c>
      <c r="T41" s="107" t="str">
        <f>IF(AND(C41="ジュニア",E41=$S$41),1,IF(AND(C41="ジュニア",E41=$S$42),2,IF(AND(C41="ジュニア",E41=$S$43),3,IF(AND(C41="ジュニア",E41=$S$44),4,IF(AND(C41="ジュニア",E41=$S$45),5,IF(AND(C41="シニア",E41=$S$41),6,IF(AND(C41="シニア",E41=$S$42),7,IF(AND(C41="シニア",E41=$S$43),8,IF(AND(C41="シニア",E41=$S$44),9,IF(AND(C41="シニア",E41=$S$45),10,""))))))))))</f>
        <v/>
      </c>
      <c r="U41" s="107" t="s">
        <v>40</v>
      </c>
      <c r="V41" s="107">
        <f>COUNTIF($T$41:$T$45,1)</f>
        <v>0</v>
      </c>
      <c r="W41" s="107">
        <f>COUNTIF($T$41:$T$45,6)</f>
        <v>0</v>
      </c>
    </row>
    <row r="42" spans="1:23" s="107" customFormat="1" ht="33.75" customHeight="1" x14ac:dyDescent="0.2">
      <c r="B42" s="471" t="s">
        <v>694</v>
      </c>
      <c r="C42" s="666"/>
      <c r="D42" s="667"/>
      <c r="E42" s="554"/>
      <c r="F42" s="554"/>
      <c r="G42" s="527" t="s">
        <v>698</v>
      </c>
      <c r="H42" s="108"/>
      <c r="I42" s="108"/>
      <c r="J42" s="108"/>
      <c r="K42" s="108"/>
      <c r="L42" s="108"/>
      <c r="M42" s="108"/>
      <c r="N42" s="108"/>
      <c r="O42" s="108"/>
      <c r="P42" s="107">
        <f t="shared" ref="P42:P45" si="5">F42</f>
        <v>0</v>
      </c>
      <c r="S42" s="107" t="s">
        <v>42</v>
      </c>
      <c r="T42" s="107" t="str">
        <f t="shared" ref="T42:T45" si="6">IF(AND(C42="ジュニア",E42=$S$41),1,IF(AND(C42="ジュニア",E42=$S$42),2,IF(AND(C42="ジュニア",E42=$S$43),3,IF(AND(C42="ジュニア",E42=$S$44),4,IF(AND(C42="ジュニア",E42=$S$45),5,IF(AND(C42="シニア",E42=$S$41),6,IF(AND(C42="シニア",E42=$S$42),7,IF(AND(C42="シニア",E42=$S$43),8,IF(AND(C42="シニア",E42=$S$44),9,IF(AND(C42="シニア",E42=$S$45),10,""))))))))))</f>
        <v/>
      </c>
      <c r="U42" s="107" t="s">
        <v>42</v>
      </c>
      <c r="V42" s="107">
        <f>COUNTIF($T$41:$T$45,2)</f>
        <v>0</v>
      </c>
      <c r="W42" s="107">
        <f>COUNTIF($T$41:$T$45,7)</f>
        <v>0</v>
      </c>
    </row>
    <row r="43" spans="1:23" s="107" customFormat="1" ht="33.75" customHeight="1" x14ac:dyDescent="0.2">
      <c r="B43" s="471" t="s">
        <v>695</v>
      </c>
      <c r="C43" s="666"/>
      <c r="D43" s="667"/>
      <c r="E43" s="554"/>
      <c r="F43" s="554"/>
      <c r="G43" s="527" t="s">
        <v>698</v>
      </c>
      <c r="H43" s="108"/>
      <c r="I43" s="108"/>
      <c r="J43" s="108"/>
      <c r="K43" s="108"/>
      <c r="L43" s="108"/>
      <c r="M43" s="108"/>
      <c r="N43" s="108"/>
      <c r="O43" s="108"/>
      <c r="P43" s="107">
        <f t="shared" si="5"/>
        <v>0</v>
      </c>
      <c r="S43" s="107" t="s">
        <v>44</v>
      </c>
      <c r="T43" s="107" t="str">
        <f t="shared" si="6"/>
        <v/>
      </c>
      <c r="U43" s="107" t="s">
        <v>44</v>
      </c>
      <c r="V43" s="107">
        <f>COUNTIF($T$41:$T$45,3)</f>
        <v>0</v>
      </c>
      <c r="W43" s="107">
        <f>COUNTIF($T$41:$T$45,8)</f>
        <v>0</v>
      </c>
    </row>
    <row r="44" spans="1:23" s="107" customFormat="1" ht="33.75" customHeight="1" x14ac:dyDescent="0.2">
      <c r="B44" s="471" t="s">
        <v>696</v>
      </c>
      <c r="C44" s="666"/>
      <c r="D44" s="667"/>
      <c r="E44" s="554"/>
      <c r="F44" s="554"/>
      <c r="G44" s="527" t="s">
        <v>698</v>
      </c>
      <c r="H44" s="108"/>
      <c r="I44" s="108"/>
      <c r="J44" s="108"/>
      <c r="K44" s="108"/>
      <c r="L44" s="108"/>
      <c r="M44" s="108"/>
      <c r="N44" s="108"/>
      <c r="O44" s="108"/>
      <c r="P44" s="107">
        <f t="shared" si="5"/>
        <v>0</v>
      </c>
      <c r="S44" s="107" t="s">
        <v>46</v>
      </c>
      <c r="T44" s="107" t="str">
        <f t="shared" si="6"/>
        <v/>
      </c>
      <c r="U44" s="107" t="s">
        <v>46</v>
      </c>
      <c r="V44" s="107">
        <f>COUNTIF($T$41:$T$45,4)</f>
        <v>0</v>
      </c>
      <c r="W44" s="107">
        <f>COUNTIF($T$41:$T$45,9)</f>
        <v>0</v>
      </c>
    </row>
    <row r="45" spans="1:23" s="107" customFormat="1" ht="33.75" customHeight="1" x14ac:dyDescent="0.2">
      <c r="B45" s="471" t="s">
        <v>697</v>
      </c>
      <c r="C45" s="666"/>
      <c r="D45" s="667"/>
      <c r="E45" s="554"/>
      <c r="F45" s="554"/>
      <c r="G45" s="527" t="s">
        <v>698</v>
      </c>
      <c r="H45" s="108"/>
      <c r="I45" s="108"/>
      <c r="J45" s="108"/>
      <c r="K45" s="108"/>
      <c r="L45" s="108"/>
      <c r="M45" s="108"/>
      <c r="N45" s="108"/>
      <c r="O45" s="108"/>
      <c r="P45" s="107">
        <f t="shared" si="5"/>
        <v>0</v>
      </c>
      <c r="S45" s="107" t="s">
        <v>881</v>
      </c>
      <c r="T45" s="107" t="str">
        <f t="shared" si="6"/>
        <v/>
      </c>
      <c r="U45" s="107" t="s">
        <v>881</v>
      </c>
      <c r="V45" s="107">
        <f>COUNTIF($T$41:$T$45,5)</f>
        <v>0</v>
      </c>
      <c r="W45" s="107">
        <f>COUNTIF($T$41:$T$45,10)</f>
        <v>0</v>
      </c>
    </row>
    <row r="46" spans="1:23" s="107" customFormat="1" ht="33.75" customHeight="1" x14ac:dyDescent="0.2">
      <c r="B46" s="547"/>
      <c r="C46" s="548"/>
      <c r="D46" s="548"/>
      <c r="E46" s="549"/>
      <c r="F46" s="549"/>
      <c r="G46" s="523"/>
      <c r="H46" s="108"/>
      <c r="I46" s="108"/>
      <c r="J46" s="108"/>
      <c r="K46" s="108"/>
      <c r="L46" s="108"/>
      <c r="M46" s="108"/>
      <c r="N46" s="108"/>
      <c r="O46" s="108"/>
      <c r="P46" s="107">
        <f>SUM(P41:P45)</f>
        <v>0</v>
      </c>
    </row>
    <row r="47" spans="1:23" ht="26.25" customHeight="1" x14ac:dyDescent="0.2">
      <c r="B47" s="118" t="s">
        <v>614</v>
      </c>
      <c r="D47" s="119"/>
    </row>
    <row r="48" spans="1:23" ht="16.2" x14ac:dyDescent="0.2">
      <c r="A48" s="109" t="s">
        <v>615</v>
      </c>
      <c r="B48" s="120" t="s">
        <v>616</v>
      </c>
      <c r="D48" s="121"/>
      <c r="E48" s="121"/>
      <c r="F48" s="121"/>
      <c r="G48" s="121"/>
      <c r="H48" s="121"/>
      <c r="I48" s="121"/>
      <c r="J48" s="121"/>
      <c r="K48" s="121"/>
      <c r="L48" s="121"/>
      <c r="M48" s="121"/>
    </row>
    <row r="49" spans="1:5" ht="16.2" x14ac:dyDescent="0.2">
      <c r="A49" s="122"/>
      <c r="B49" s="120" t="s">
        <v>617</v>
      </c>
      <c r="D49" s="119"/>
    </row>
    <row r="50" spans="1:5" ht="16.2" x14ac:dyDescent="0.2">
      <c r="A50" s="122"/>
      <c r="B50" s="120" t="s">
        <v>903</v>
      </c>
      <c r="D50" s="119"/>
    </row>
    <row r="51" spans="1:5" ht="16.2" x14ac:dyDescent="0.2">
      <c r="A51" s="122"/>
      <c r="B51" s="120"/>
      <c r="D51" s="119"/>
    </row>
    <row r="52" spans="1:5" ht="21.75" customHeight="1" x14ac:dyDescent="0.2">
      <c r="A52" s="123" t="s">
        <v>618</v>
      </c>
      <c r="B52" s="124" t="s">
        <v>311</v>
      </c>
    </row>
    <row r="53" spans="1:5" ht="21.75" customHeight="1" x14ac:dyDescent="0.2">
      <c r="A53" s="123" t="s">
        <v>619</v>
      </c>
      <c r="B53" s="355" t="s">
        <v>620</v>
      </c>
      <c r="E53" s="125" t="str">
        <f>IF(C3="大田区大会","※マスターズはマスターズ用入力シートに入力してください。","")</f>
        <v/>
      </c>
    </row>
    <row r="54" spans="1:5" ht="21.75" customHeight="1" x14ac:dyDescent="0.2">
      <c r="A54" s="123" t="s">
        <v>621</v>
      </c>
      <c r="B54" s="117" t="s">
        <v>622</v>
      </c>
      <c r="E54" s="425" t="str">
        <f>IF(C3="港区大会","１人１行とします。⑤・⑥の場合は、複数行を使用してください。",IF(C3="小平市大会","１人１行とします。","１人１行とします。⑤の場合は、複数行を使用してください。"))</f>
        <v>１人１行とします。⑤の場合は、複数行を使用してください。</v>
      </c>
    </row>
    <row r="55" spans="1:5" ht="21.75" customHeight="1" x14ac:dyDescent="0.2">
      <c r="A55" s="123"/>
      <c r="B55" s="426" t="s">
        <v>623</v>
      </c>
      <c r="E55" s="125"/>
    </row>
    <row r="56" spans="1:5" ht="21.75" customHeight="1" x14ac:dyDescent="0.2">
      <c r="A56" s="123"/>
      <c r="B56" s="426" t="s">
        <v>624</v>
      </c>
      <c r="E56" s="125"/>
    </row>
    <row r="57" spans="1:5" ht="21.75" customHeight="1" x14ac:dyDescent="0.2">
      <c r="A57" s="123"/>
      <c r="B57" s="426" t="s">
        <v>625</v>
      </c>
      <c r="E57" s="125"/>
    </row>
    <row r="58" spans="1:5" ht="21.75" customHeight="1" x14ac:dyDescent="0.2">
      <c r="A58" s="123" t="s">
        <v>626</v>
      </c>
      <c r="B58" s="196" t="s">
        <v>627</v>
      </c>
    </row>
    <row r="59" spans="1:5" ht="21.75" customHeight="1" x14ac:dyDescent="0.2">
      <c r="A59" s="123"/>
      <c r="B59" s="196" t="s">
        <v>728</v>
      </c>
      <c r="D59" s="196"/>
    </row>
    <row r="60" spans="1:5" ht="21.75" customHeight="1" x14ac:dyDescent="0.2">
      <c r="B60" s="128" t="s">
        <v>628</v>
      </c>
    </row>
    <row r="61" spans="1:5" ht="21.75" customHeight="1" x14ac:dyDescent="0.2">
      <c r="A61" s="123"/>
      <c r="B61" s="196" t="s">
        <v>629</v>
      </c>
    </row>
    <row r="62" spans="1:5" ht="21.75" customHeight="1" x14ac:dyDescent="0.2">
      <c r="A62" s="123"/>
      <c r="B62" s="196" t="s">
        <v>630</v>
      </c>
    </row>
    <row r="63" spans="1:5" s="553" customFormat="1" ht="21.75" customHeight="1" x14ac:dyDescent="0.2">
      <c r="A63" s="551"/>
      <c r="B63" s="552" t="str">
        <f>IF(C3="世田谷区大会","・チームコンテストは、１チーム目の１人目を1-1、２人目を1-2以下同様とし、２チーム目の１人目は2-1、２人目は2-2以下同様とする。","・自由演技団体は、１チーム目の１人目を1-1、２人目を1-2以下同様とし、２チーム目の１人目は2-1、２人目は2-2以下同様とする。")</f>
        <v>・自由演技団体は、１チーム目の１人目を1-1、２人目を1-2以下同様とし、２チーム目の１人目は2-1、２人目は2-2以下同様とする。</v>
      </c>
    </row>
    <row r="64" spans="1:5" s="553" customFormat="1" ht="21.75" customHeight="1" x14ac:dyDescent="0.2">
      <c r="A64" s="551"/>
      <c r="B64" s="552" t="s">
        <v>705</v>
      </c>
    </row>
    <row r="65" spans="1:2" ht="21.75" customHeight="1" x14ac:dyDescent="0.2">
      <c r="A65" s="123" t="s">
        <v>631</v>
      </c>
      <c r="B65" s="425" t="str">
        <f>IF(C3="港区大会",Sheet1!A22,Sheet1!A21)</f>
        <v>関東６種目において、１人の選手が同種目で複数申込む場合は、複数行を使い入力してください。</v>
      </c>
    </row>
    <row r="66" spans="1:2" ht="21.75" customHeight="1" x14ac:dyDescent="0.2">
      <c r="A66" s="123" t="str">
        <f>IF(C3="港区大会","⑥","")</f>
        <v/>
      </c>
      <c r="B66" s="425" t="str">
        <f>IF(C3="港区大会",Sheet1!A21,"")</f>
        <v/>
      </c>
    </row>
    <row r="67" spans="1:2" ht="21.75" customHeight="1" x14ac:dyDescent="0.2">
      <c r="A67" s="123"/>
      <c r="B67" s="426" t="str">
        <f>IF(C3="港区大会","・⑤・⑥の場合、２行目の名前欄に『重複』と入力してください。自動で赤字になり、Ｎｏ．の反映はされません。","・⑤の場合、２行目の名前欄に『重複』と入力してください。自動で赤字になり、Ｎｏ．の反映はされません。")</f>
        <v>・⑤の場合、２行目の名前欄に『重複』と入力してください。自動で赤字になり、Ｎｏ．の反映はされません。</v>
      </c>
    </row>
    <row r="68" spans="1:2" ht="21.75" customHeight="1" x14ac:dyDescent="0.2">
      <c r="A68" s="123"/>
      <c r="B68" s="426" t="s">
        <v>632</v>
      </c>
    </row>
    <row r="69" spans="1:2" ht="21.75" customHeight="1" x14ac:dyDescent="0.2">
      <c r="A69" s="123"/>
    </row>
    <row r="70" spans="1:2" ht="21.75" customHeight="1" x14ac:dyDescent="0.2">
      <c r="A70" s="109" t="s">
        <v>615</v>
      </c>
      <c r="B70" s="120" t="s">
        <v>633</v>
      </c>
    </row>
    <row r="71" spans="1:2" ht="21.75" customHeight="1" x14ac:dyDescent="0.2">
      <c r="A71" s="130" t="s">
        <v>615</v>
      </c>
      <c r="B71" s="131" t="s">
        <v>634</v>
      </c>
    </row>
    <row r="72" spans="1:2" ht="21.75" customHeight="1" x14ac:dyDescent="0.2">
      <c r="A72" s="126" t="s">
        <v>615</v>
      </c>
      <c r="B72" s="127" t="s">
        <v>635</v>
      </c>
    </row>
    <row r="73" spans="1:2" ht="21.75" customHeight="1" x14ac:dyDescent="0.2">
      <c r="A73" s="126" t="s">
        <v>615</v>
      </c>
      <c r="B73" s="127" t="s">
        <v>636</v>
      </c>
    </row>
    <row r="74" spans="1:2" ht="21.75" customHeight="1" x14ac:dyDescent="0.2">
      <c r="A74" s="126" t="s">
        <v>615</v>
      </c>
      <c r="B74" s="127" t="s">
        <v>637</v>
      </c>
    </row>
    <row r="75" spans="1:2" ht="21.75" customHeight="1" x14ac:dyDescent="0.2">
      <c r="A75" s="126"/>
      <c r="B75" s="125"/>
    </row>
    <row r="76" spans="1:2" ht="21.75" customHeight="1" x14ac:dyDescent="0.2">
      <c r="A76" s="123" t="s">
        <v>638</v>
      </c>
      <c r="B76" s="196" t="s">
        <v>676</v>
      </c>
    </row>
    <row r="77" spans="1:2" ht="21.75" customHeight="1" x14ac:dyDescent="0.2">
      <c r="A77" s="123" t="s">
        <v>638</v>
      </c>
      <c r="B77" s="117" t="s">
        <v>639</v>
      </c>
    </row>
    <row r="78" spans="1:2" ht="21.75" customHeight="1" x14ac:dyDescent="0.2">
      <c r="A78" s="123" t="s">
        <v>638</v>
      </c>
      <c r="B78" s="117" t="s">
        <v>640</v>
      </c>
    </row>
    <row r="79" spans="1:2" ht="21.75" customHeight="1" x14ac:dyDescent="0.2">
      <c r="A79" s="123" t="s">
        <v>638</v>
      </c>
      <c r="B79" s="196" t="s">
        <v>727</v>
      </c>
    </row>
    <row r="80" spans="1:2" ht="21.75" customHeight="1" x14ac:dyDescent="0.2">
      <c r="A80" s="123"/>
      <c r="B80" s="117" t="s">
        <v>641</v>
      </c>
    </row>
    <row r="81" spans="1:2" ht="21.75" customHeight="1" x14ac:dyDescent="0.2">
      <c r="A81" s="123"/>
      <c r="B81" s="117" t="s">
        <v>642</v>
      </c>
    </row>
    <row r="82" spans="1:2" ht="21.75" customHeight="1" x14ac:dyDescent="0.2">
      <c r="A82" s="123"/>
    </row>
  </sheetData>
  <sheetProtection algorithmName="SHA-512" hashValue="/3URw9tp1BJ+/m6l09oj4waQO6bbWbYgi/+eHIAhgepLAnQglHmQDobd2JRaNuhV6GJytn86h4nzmgSFFi+IMQ==" saltValue="RPb+u61h6QUtOxJK5wU1Lg==" spinCount="100000" sheet="1" selectLockedCells="1"/>
  <mergeCells count="87">
    <mergeCell ref="F11:L11"/>
    <mergeCell ref="C44:D44"/>
    <mergeCell ref="C45:D45"/>
    <mergeCell ref="C32:D32"/>
    <mergeCell ref="E32:F32"/>
    <mergeCell ref="C40:D40"/>
    <mergeCell ref="C41:D41"/>
    <mergeCell ref="C42:D42"/>
    <mergeCell ref="C43:D43"/>
    <mergeCell ref="C33:D33"/>
    <mergeCell ref="E33:F33"/>
    <mergeCell ref="C36:D36"/>
    <mergeCell ref="C37:D37"/>
    <mergeCell ref="E36:F36"/>
    <mergeCell ref="E37:F37"/>
    <mergeCell ref="C34:D34"/>
    <mergeCell ref="C35:D35"/>
    <mergeCell ref="C3:E3"/>
    <mergeCell ref="C11:E11"/>
    <mergeCell ref="B1:N1"/>
    <mergeCell ref="C4:E4"/>
    <mergeCell ref="G4:I4"/>
    <mergeCell ref="C5:I5"/>
    <mergeCell ref="J5:K5"/>
    <mergeCell ref="L5:N5"/>
    <mergeCell ref="C8:G8"/>
    <mergeCell ref="E10:G10"/>
    <mergeCell ref="H8:I8"/>
    <mergeCell ref="J8:N8"/>
    <mergeCell ref="C9:N9"/>
    <mergeCell ref="C10:D10"/>
    <mergeCell ref="H10:J10"/>
    <mergeCell ref="K10:M10"/>
    <mergeCell ref="C6:E6"/>
    <mergeCell ref="F6:G6"/>
    <mergeCell ref="H6:N6"/>
    <mergeCell ref="C7:G7"/>
    <mergeCell ref="H7:I7"/>
    <mergeCell ref="J7:N7"/>
    <mergeCell ref="B12:B14"/>
    <mergeCell ref="E14:N14"/>
    <mergeCell ref="C12:D12"/>
    <mergeCell ref="E12:H12"/>
    <mergeCell ref="C13:D13"/>
    <mergeCell ref="E13:G13"/>
    <mergeCell ref="C14:D14"/>
    <mergeCell ref="C21:D21"/>
    <mergeCell ref="H21:I21"/>
    <mergeCell ref="B16:N16"/>
    <mergeCell ref="B17:N17"/>
    <mergeCell ref="C18:D18"/>
    <mergeCell ref="H18:I18"/>
    <mergeCell ref="E18:G18"/>
    <mergeCell ref="C19:D19"/>
    <mergeCell ref="H19:I19"/>
    <mergeCell ref="J18:N18"/>
    <mergeCell ref="J19:N19"/>
    <mergeCell ref="J20:N20"/>
    <mergeCell ref="C20:D20"/>
    <mergeCell ref="H20:I20"/>
    <mergeCell ref="C25:D25"/>
    <mergeCell ref="H25:I25"/>
    <mergeCell ref="C22:D22"/>
    <mergeCell ref="H22:I22"/>
    <mergeCell ref="C23:D23"/>
    <mergeCell ref="H23:I23"/>
    <mergeCell ref="C28:D28"/>
    <mergeCell ref="H28:I28"/>
    <mergeCell ref="C29:D29"/>
    <mergeCell ref="H29:I29"/>
    <mergeCell ref="J21:N21"/>
    <mergeCell ref="J22:N22"/>
    <mergeCell ref="J23:N23"/>
    <mergeCell ref="J26:N26"/>
    <mergeCell ref="J24:N24"/>
    <mergeCell ref="J25:N25"/>
    <mergeCell ref="C26:D26"/>
    <mergeCell ref="H26:I26"/>
    <mergeCell ref="C27:D27"/>
    <mergeCell ref="H27:I27"/>
    <mergeCell ref="C24:D24"/>
    <mergeCell ref="H24:I24"/>
    <mergeCell ref="E34:F34"/>
    <mergeCell ref="E35:F35"/>
    <mergeCell ref="J27:N27"/>
    <mergeCell ref="J28:N28"/>
    <mergeCell ref="J29:N29"/>
  </mergeCells>
  <phoneticPr fontId="4"/>
  <conditionalFormatting sqref="A31:XFD31 A32:C32 E32 G32:XFD32 A33:XFD37">
    <cfRule type="expression" dxfId="69" priority="13">
      <formula>$C$3&lt;&gt;"港区大会"</formula>
    </cfRule>
  </conditionalFormatting>
  <conditionalFormatting sqref="A39:XFD46">
    <cfRule type="expression" dxfId="68" priority="3">
      <formula>$C$3&lt;&gt;"世田谷区大会"</formula>
    </cfRule>
  </conditionalFormatting>
  <conditionalFormatting sqref="A59:XFD68">
    <cfRule type="expression" dxfId="67" priority="10">
      <formula>$C$3="小平市大会"</formula>
    </cfRule>
  </conditionalFormatting>
  <conditionalFormatting sqref="A60:XFD62">
    <cfRule type="expression" dxfId="66" priority="8">
      <formula>$C$3="品川区大会"</formula>
    </cfRule>
  </conditionalFormatting>
  <conditionalFormatting sqref="A63:XFD64">
    <cfRule type="expression" dxfId="65" priority="12">
      <formula>OR($C$3="港区大会",$C$3="世田谷区大会")</formula>
    </cfRule>
  </conditionalFormatting>
  <conditionalFormatting sqref="B65:B66">
    <cfRule type="expression" dxfId="64" priority="9">
      <formula>$C$3="小平市大会"</formula>
    </cfRule>
  </conditionalFormatting>
  <conditionalFormatting sqref="F3:O3">
    <cfRule type="expression" dxfId="63" priority="5">
      <formula>AND(($C$3="品川区大会"),($Q$3=3))</formula>
    </cfRule>
  </conditionalFormatting>
  <dataValidations count="8">
    <dataValidation type="list" allowBlank="1" showInputMessage="1" showErrorMessage="1" sqref="C4:E4" xr:uid="{00000000-0002-0000-0000-000000000000}">
      <formula1>都県</formula1>
    </dataValidation>
    <dataValidation imeMode="halfAlpha" allowBlank="1" showInputMessage="1" showErrorMessage="1" sqref="G4:I4" xr:uid="{00000000-0002-0000-0000-000001000000}"/>
    <dataValidation type="list" allowBlank="1" showInputMessage="1" showErrorMessage="1" sqref="K10 E10" xr:uid="{00000000-0002-0000-0000-000002000000}">
      <formula1>"申込書と一緒に提出,後日提出"</formula1>
    </dataValidation>
    <dataValidation imeMode="hiragana" allowBlank="1" showInputMessage="1" showErrorMessage="1" sqref="C5:I5 L5:N5 H6:N6 C8:G8 J8:N8 E12:H12 E14:E15" xr:uid="{00000000-0002-0000-0000-000003000000}"/>
    <dataValidation type="list" allowBlank="1" showInputMessage="1" showErrorMessage="1" sqref="C11:E11" xr:uid="{00000000-0002-0000-0000-000004000000}">
      <formula1>"許可する,許可しない"</formula1>
    </dataValidation>
    <dataValidation type="list" allowBlank="1" showInputMessage="1" showErrorMessage="1" sqref="H20:I29" xr:uid="{00000000-0002-0000-0000-000005000000}">
      <formula1>"他団体から複合出場,他団体へ複合出場"</formula1>
    </dataValidation>
    <dataValidation type="list" allowBlank="1" showInputMessage="1" showErrorMessage="1" sqref="C33:D37 C41:D46" xr:uid="{00000000-0002-0000-0000-000006000000}">
      <formula1>"ジュニア,シニア"</formula1>
    </dataValidation>
    <dataValidation type="list" allowBlank="1" showInputMessage="1" showErrorMessage="1" sqref="E41:E46" xr:uid="{A80CB58C-170E-4548-ACFA-500D9CCC42EF}">
      <formula1>"入門,初級,中級,上級,最上級"</formula1>
    </dataValidation>
  </dataValidations>
  <pageMargins left="0.25" right="0.2" top="0.55000000000000004" bottom="0.28999999999999998" header="0.3" footer="0.3"/>
  <pageSetup paperSize="9" scale="75" fitToHeight="0" orientation="portrait" horizontalDpi="4294967293" r:id="rId1"/>
  <rowBreaks count="1" manualBreakCount="1">
    <brk id="46" max="13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7000000}">
          <x14:formula1>
            <xm:f>Sheet1!$A$4:$A$7</xm:f>
          </x14:formula1>
          <xm:sqref>C3:E3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FFFF00"/>
  </sheetPr>
  <dimension ref="A1:FE119"/>
  <sheetViews>
    <sheetView zoomScaleNormal="100" workbookViewId="0">
      <pane xSplit="8" ySplit="11" topLeftCell="I12" activePane="bottomRight" state="frozen"/>
      <selection activeCell="I31" sqref="I31:K31"/>
      <selection pane="topRight" activeCell="I31" sqref="I31:K31"/>
      <selection pane="bottomLeft" activeCell="I31" sqref="I31:K31"/>
      <selection pane="bottomRight" activeCell="C12" sqref="C12"/>
    </sheetView>
  </sheetViews>
  <sheetFormatPr defaultRowHeight="18.75" customHeight="1" x14ac:dyDescent="0.2"/>
  <cols>
    <col min="1" max="1" width="3.44140625" hidden="1" customWidth="1"/>
    <col min="2" max="2" width="4.33203125" style="49" bestFit="1" customWidth="1"/>
    <col min="3" max="3" width="11.6640625" style="49" customWidth="1"/>
    <col min="4" max="4" width="13.77734375" style="49" customWidth="1"/>
    <col min="5" max="5" width="17.109375" style="49" customWidth="1"/>
    <col min="6" max="6" width="5.21875" style="137" bestFit="1" customWidth="1"/>
    <col min="7" max="7" width="15.6640625" style="133" bestFit="1" customWidth="1"/>
    <col min="8" max="8" width="13.77734375" style="138" customWidth="1"/>
    <col min="9" max="9" width="7.33203125" style="1" customWidth="1"/>
    <col min="10" max="13" width="7.44140625" style="133" customWidth="1"/>
    <col min="14" max="15" width="7.44140625" style="133" hidden="1" customWidth="1"/>
    <col min="16" max="16" width="9.88671875" style="1" customWidth="1"/>
    <col min="17" max="17" width="6.109375" style="1" hidden="1" customWidth="1"/>
    <col min="18" max="22" width="10.77734375" style="133" customWidth="1"/>
    <col min="23" max="23" width="6.21875" style="133" customWidth="1"/>
    <col min="24" max="24" width="6.21875" style="137" customWidth="1"/>
    <col min="25" max="25" width="4.21875" style="1" hidden="1" customWidth="1"/>
    <col min="26" max="26" width="8.77734375" style="356" customWidth="1"/>
    <col min="27" max="27" width="7.109375" style="350" customWidth="1"/>
    <col min="28" max="28" width="8.77734375" style="356" customWidth="1"/>
    <col min="29" max="29" width="7.109375" style="350" customWidth="1"/>
    <col min="30" max="30" width="8.77734375" style="356" customWidth="1"/>
    <col min="31" max="31" width="7.109375" style="350" customWidth="1"/>
    <col min="32" max="32" width="8.77734375" style="356" customWidth="1"/>
    <col min="33" max="33" width="7.109375" style="350" customWidth="1"/>
    <col min="34" max="34" width="8.77734375" style="356" customWidth="1"/>
    <col min="35" max="35" width="7.109375" style="350" customWidth="1"/>
    <col min="36" max="36" width="8.109375" style="356" customWidth="1"/>
    <col min="37" max="37" width="5" style="394" customWidth="1"/>
    <col min="38" max="38" width="7.109375" style="395" customWidth="1"/>
    <col min="39" max="39" width="14.33203125" style="394" hidden="1" customWidth="1"/>
    <col min="40" max="40" width="8.6640625" style="394" hidden="1" customWidth="1"/>
    <col min="41" max="41" width="5.44140625" style="356" hidden="1" customWidth="1"/>
    <col min="42" max="42" width="16.6640625" style="356" hidden="1" customWidth="1"/>
    <col min="43" max="43" width="0.109375" style="356" customWidth="1"/>
    <col min="44" max="44" width="6.6640625" style="356" customWidth="1"/>
    <col min="45" max="45" width="11.33203125" style="356" customWidth="1"/>
    <col min="46" max="46" width="6.6640625" style="356" customWidth="1"/>
    <col min="47" max="48" width="11.33203125" style="356" customWidth="1"/>
    <col min="49" max="49" width="6.6640625" style="356" customWidth="1"/>
    <col min="50" max="50" width="9" customWidth="1"/>
    <col min="51" max="51" width="9" hidden="1" customWidth="1"/>
    <col min="52" max="52" width="16.6640625" hidden="1" customWidth="1"/>
    <col min="53" max="53" width="5.21875" hidden="1" customWidth="1"/>
    <col min="54" max="54" width="2.6640625" hidden="1" customWidth="1"/>
    <col min="55" max="55" width="4.21875" hidden="1" customWidth="1"/>
    <col min="56" max="56" width="10.88671875" hidden="1" customWidth="1"/>
    <col min="57" max="57" width="9" hidden="1" customWidth="1"/>
    <col min="58" max="70" width="9" style="1" hidden="1" customWidth="1"/>
    <col min="71" max="73" width="9" hidden="1" customWidth="1"/>
    <col min="74" max="74" width="10.109375" hidden="1" customWidth="1"/>
    <col min="75" max="75" width="11.6640625" hidden="1" customWidth="1"/>
    <col min="76" max="77" width="9" hidden="1" customWidth="1"/>
    <col min="78" max="78" width="6.77734375" hidden="1" customWidth="1"/>
    <col min="79" max="79" width="5.44140625" hidden="1" customWidth="1"/>
    <col min="80" max="80" width="10.44140625" hidden="1" customWidth="1"/>
    <col min="81" max="81" width="9" hidden="1" customWidth="1"/>
    <col min="82" max="82" width="1.44140625" hidden="1" customWidth="1"/>
    <col min="83" max="83" width="8" style="140" hidden="1" customWidth="1"/>
    <col min="84" max="84" width="9" hidden="1" customWidth="1"/>
    <col min="85" max="85" width="4.77734375" hidden="1" customWidth="1"/>
    <col min="86" max="86" width="11.21875" hidden="1" customWidth="1"/>
    <col min="87" max="87" width="5.21875" hidden="1" customWidth="1"/>
    <col min="88" max="88" width="12.21875" hidden="1" customWidth="1"/>
    <col min="89" max="89" width="5.21875" hidden="1" customWidth="1"/>
    <col min="90" max="90" width="9" hidden="1" customWidth="1"/>
    <col min="91" max="91" width="4.77734375" hidden="1" customWidth="1"/>
    <col min="92" max="92" width="9" hidden="1" customWidth="1"/>
    <col min="93" max="93" width="4.77734375" hidden="1" customWidth="1"/>
    <col min="94" max="94" width="3.77734375" hidden="1" customWidth="1"/>
    <col min="95" max="95" width="7.6640625" hidden="1" customWidth="1"/>
    <col min="96" max="96" width="6" hidden="1" customWidth="1"/>
    <col min="97" max="97" width="6.77734375" hidden="1" customWidth="1"/>
    <col min="98" max="98" width="4.44140625" style="1" hidden="1" customWidth="1"/>
    <col min="99" max="99" width="7" hidden="1" customWidth="1"/>
    <col min="100" max="100" width="9" hidden="1" customWidth="1"/>
    <col min="101" max="101" width="4.77734375" hidden="1" customWidth="1"/>
    <col min="102" max="103" width="9" hidden="1" customWidth="1"/>
    <col min="104" max="104" width="3.77734375" hidden="1" customWidth="1"/>
    <col min="105" max="105" width="9" hidden="1" customWidth="1"/>
    <col min="106" max="106" width="6" hidden="1" customWidth="1"/>
    <col min="107" max="107" width="6.77734375" hidden="1" customWidth="1"/>
    <col min="108" max="108" width="4.44140625" style="1" hidden="1" customWidth="1"/>
    <col min="109" max="109" width="10.44140625" hidden="1" customWidth="1"/>
    <col min="110" max="110" width="9" hidden="1" customWidth="1"/>
    <col min="111" max="111" width="5.44140625" hidden="1" customWidth="1"/>
    <col min="112" max="112" width="8" style="140" hidden="1" customWidth="1"/>
    <col min="113" max="113" width="10.109375" hidden="1" customWidth="1"/>
    <col min="114" max="114" width="4.77734375" hidden="1" customWidth="1"/>
    <col min="115" max="115" width="10.109375" hidden="1" customWidth="1"/>
    <col min="116" max="116" width="4.77734375" hidden="1" customWidth="1"/>
    <col min="117" max="117" width="10.109375" hidden="1" customWidth="1"/>
    <col min="118" max="118" width="4.77734375" hidden="1" customWidth="1"/>
    <col min="119" max="119" width="8" style="140" hidden="1" customWidth="1"/>
    <col min="120" max="120" width="9" hidden="1" customWidth="1"/>
    <col min="121" max="121" width="4.77734375" hidden="1" customWidth="1"/>
    <col min="122" max="122" width="9" hidden="1" customWidth="1"/>
    <col min="123" max="123" width="4.77734375" hidden="1" customWidth="1"/>
    <col min="124" max="124" width="4.6640625" hidden="1" customWidth="1"/>
    <col min="125" max="125" width="8.21875" hidden="1" customWidth="1"/>
    <col min="126" max="126" width="6" hidden="1" customWidth="1"/>
    <col min="127" max="127" width="6.77734375" hidden="1" customWidth="1"/>
    <col min="128" max="128" width="4.44140625" style="1" hidden="1" customWidth="1"/>
    <col min="129" max="129" width="7" hidden="1" customWidth="1"/>
    <col min="130" max="130" width="9" hidden="1" customWidth="1"/>
    <col min="131" max="132" width="4.77734375" hidden="1" customWidth="1"/>
    <col min="133" max="133" width="9.88671875" hidden="1" customWidth="1"/>
    <col min="134" max="137" width="4.77734375" hidden="1" customWidth="1"/>
    <col min="138" max="138" width="8.33203125" style="18" hidden="1" customWidth="1"/>
    <col min="139" max="146" width="7.109375" style="18" hidden="1" customWidth="1"/>
    <col min="147" max="147" width="8.44140625" style="18" hidden="1" customWidth="1"/>
    <col min="148" max="151" width="7" hidden="1" customWidth="1"/>
    <col min="152" max="152" width="9" style="18" hidden="1" customWidth="1"/>
    <col min="153" max="153" width="3.33203125" hidden="1" customWidth="1"/>
    <col min="154" max="157" width="6.6640625" hidden="1" customWidth="1"/>
    <col min="158" max="158" width="7.44140625" hidden="1" customWidth="1"/>
    <col min="159" max="160" width="6.6640625" hidden="1" customWidth="1"/>
    <col min="161" max="161" width="18.33203125" hidden="1" customWidth="1"/>
    <col min="162" max="162" width="18.33203125" customWidth="1"/>
    <col min="163" max="163" width="9" customWidth="1"/>
  </cols>
  <sheetData>
    <row r="1" spans="1:161" ht="28.5" customHeight="1" thickBot="1" x14ac:dyDescent="0.25">
      <c r="B1" s="55" t="s">
        <v>61</v>
      </c>
      <c r="C1" s="55"/>
      <c r="D1" s="55"/>
      <c r="E1" s="55"/>
      <c r="F1" s="56"/>
      <c r="G1" s="57"/>
      <c r="H1" s="37"/>
      <c r="I1" s="192"/>
      <c r="J1" s="798" t="s">
        <v>646</v>
      </c>
      <c r="K1" s="798"/>
      <c r="L1" s="798"/>
      <c r="M1" s="798"/>
      <c r="N1" s="430"/>
      <c r="O1" s="430"/>
      <c r="P1" s="218" t="str">
        <f>IF(OR(団体情報・入力の仕方!$C$3="品川区大会",団体情報・入力の仕方!$C$3="小平市大会"),"","○を選択")</f>
        <v>○を選択</v>
      </c>
      <c r="Q1" s="218" t="str">
        <f>IF(OR(団体情報・入力の仕方!$C$3="品川区大会",団体情報・入力の仕方!$C$3="小平市大会",団体情報・入力の仕方!$C$3="世田谷区大会"),"","○を選択")</f>
        <v>○を選択</v>
      </c>
      <c r="R1" s="798" t="str">
        <f>IF(団体情報・入力の仕方!$C$3="小平市大会","","入門・初級・中級・上級を選択")</f>
        <v>入門・初級・中級・上級を選択</v>
      </c>
      <c r="S1" s="798"/>
      <c r="T1" s="798"/>
      <c r="U1" s="798"/>
      <c r="V1" s="798"/>
      <c r="W1" s="798"/>
      <c r="X1" s="798"/>
      <c r="Y1" s="218"/>
      <c r="AB1" s="799" t="str">
        <f>IF(OR(団体情報・入力の仕方!$C$3="小平市大会",団体情報・入力の仕方!$C$3="品川区大会"),"",Sheet1!A17)</f>
        <v>○を選択</v>
      </c>
      <c r="AC1" s="799"/>
      <c r="AD1" s="799"/>
      <c r="AE1" s="799"/>
      <c r="AF1" s="799"/>
      <c r="AG1" s="799"/>
      <c r="AH1" s="799"/>
      <c r="AI1" s="431"/>
      <c r="AJ1" s="431"/>
      <c r="AK1" s="431"/>
      <c r="AL1" s="431"/>
      <c r="AM1" s="431"/>
      <c r="AN1" s="431"/>
      <c r="AO1" s="431"/>
      <c r="AP1" s="357"/>
      <c r="AQ1" s="357"/>
      <c r="AR1" s="357"/>
      <c r="AS1" s="357"/>
      <c r="AT1" s="357"/>
      <c r="AU1" s="357"/>
      <c r="AV1" s="357"/>
      <c r="AW1" s="357"/>
      <c r="AX1" s="37"/>
      <c r="AY1" s="37"/>
    </row>
    <row r="2" spans="1:161" ht="18.75" customHeight="1" x14ac:dyDescent="0.2">
      <c r="B2" s="745">
        <f>団体情報・入力の仕方!$G$4</f>
        <v>0</v>
      </c>
      <c r="C2" s="746"/>
      <c r="D2" s="746"/>
      <c r="E2" s="747">
        <f>団体情報・入力の仕方!$C$5</f>
        <v>0</v>
      </c>
      <c r="F2" s="747"/>
      <c r="G2" s="748"/>
      <c r="H2" s="572" t="s">
        <v>0</v>
      </c>
      <c r="I2" s="776" t="s">
        <v>459</v>
      </c>
      <c r="J2" s="800" t="s">
        <v>505</v>
      </c>
      <c r="K2" s="801"/>
      <c r="L2" s="801"/>
      <c r="M2" s="802"/>
      <c r="N2" s="432"/>
      <c r="O2" s="433"/>
      <c r="P2" s="258" t="s">
        <v>504</v>
      </c>
      <c r="Q2" s="258" t="s">
        <v>504</v>
      </c>
      <c r="R2" s="821" t="s">
        <v>522</v>
      </c>
      <c r="S2" s="822"/>
      <c r="T2" s="822"/>
      <c r="U2" s="822"/>
      <c r="V2" s="822"/>
      <c r="W2" s="822"/>
      <c r="X2" s="823"/>
      <c r="Y2" s="803" t="str">
        <f>Sheet1!A14</f>
        <v>オープン６種目選手権</v>
      </c>
      <c r="Z2" s="804"/>
      <c r="AA2" s="804"/>
      <c r="AB2" s="804"/>
      <c r="AC2" s="804"/>
      <c r="AD2" s="804"/>
      <c r="AE2" s="804"/>
      <c r="AF2" s="804"/>
      <c r="AG2" s="804"/>
      <c r="AH2" s="804"/>
      <c r="AI2" s="804"/>
      <c r="AJ2" s="804"/>
      <c r="AK2" s="804"/>
      <c r="AL2" s="804"/>
      <c r="AM2" s="804"/>
      <c r="AN2" s="804"/>
      <c r="AO2" s="805"/>
      <c r="AP2" s="358"/>
      <c r="AQ2" s="359"/>
      <c r="AR2" s="785" t="s">
        <v>680</v>
      </c>
      <c r="AS2" s="786"/>
      <c r="AT2" s="787"/>
      <c r="AU2" s="785" t="s">
        <v>895</v>
      </c>
      <c r="AV2" s="786"/>
      <c r="AW2" s="787"/>
    </row>
    <row r="3" spans="1:161" ht="18.75" customHeight="1" x14ac:dyDescent="0.2">
      <c r="B3" s="761" t="s">
        <v>62</v>
      </c>
      <c r="C3" s="763" t="s">
        <v>672</v>
      </c>
      <c r="D3" s="763" t="s">
        <v>63</v>
      </c>
      <c r="E3" s="763" t="s">
        <v>332</v>
      </c>
      <c r="F3" s="763" t="s">
        <v>18</v>
      </c>
      <c r="G3" s="765" t="s">
        <v>64</v>
      </c>
      <c r="H3" s="774" t="str">
        <f>IF(団体情報・入力の仕方!C3="世田谷区大会","プレチーム　　　　コンテスト　　（チーム参加費）
を除く",IF(団体情報・入力の仕方!C3="港区大会","
自由演技
団体
を除く",""))</f>
        <v/>
      </c>
      <c r="I3" s="777"/>
      <c r="J3" s="768" t="s">
        <v>647</v>
      </c>
      <c r="K3" s="768"/>
      <c r="L3" s="768"/>
      <c r="M3" s="769"/>
      <c r="N3" s="772" t="s">
        <v>648</v>
      </c>
      <c r="O3" s="773"/>
      <c r="P3" s="825" t="s">
        <v>649</v>
      </c>
      <c r="Q3" s="815" t="s">
        <v>833</v>
      </c>
      <c r="R3" s="824"/>
      <c r="S3" s="768"/>
      <c r="T3" s="768"/>
      <c r="U3" s="768"/>
      <c r="V3" s="768"/>
      <c r="W3" s="768"/>
      <c r="X3" s="773"/>
      <c r="Y3" s="806"/>
      <c r="Z3" s="807"/>
      <c r="AA3" s="807"/>
      <c r="AB3" s="807"/>
      <c r="AC3" s="807"/>
      <c r="AD3" s="807"/>
      <c r="AE3" s="807"/>
      <c r="AF3" s="807"/>
      <c r="AG3" s="807"/>
      <c r="AH3" s="807"/>
      <c r="AI3" s="807"/>
      <c r="AJ3" s="807"/>
      <c r="AK3" s="807"/>
      <c r="AL3" s="807"/>
      <c r="AM3" s="807"/>
      <c r="AN3" s="807"/>
      <c r="AO3" s="808"/>
      <c r="AP3" s="779"/>
      <c r="AQ3" s="780"/>
      <c r="AR3" s="788"/>
      <c r="AS3" s="789"/>
      <c r="AT3" s="790"/>
      <c r="AU3" s="788"/>
      <c r="AV3" s="789"/>
      <c r="AW3" s="790"/>
    </row>
    <row r="4" spans="1:161" ht="26.25" customHeight="1" thickBot="1" x14ac:dyDescent="0.25">
      <c r="B4" s="762"/>
      <c r="C4" s="764"/>
      <c r="D4" s="764"/>
      <c r="E4" s="764"/>
      <c r="F4" s="764"/>
      <c r="G4" s="766"/>
      <c r="H4" s="775"/>
      <c r="I4" s="778"/>
      <c r="J4" s="259" t="s">
        <v>524</v>
      </c>
      <c r="K4" s="260" t="s">
        <v>526</v>
      </c>
      <c r="L4" s="260" t="s">
        <v>528</v>
      </c>
      <c r="M4" s="259" t="s">
        <v>529</v>
      </c>
      <c r="N4" s="260" t="s">
        <v>526</v>
      </c>
      <c r="O4" s="261" t="s">
        <v>528</v>
      </c>
      <c r="P4" s="826"/>
      <c r="Q4" s="816"/>
      <c r="R4" s="262" t="s">
        <v>650</v>
      </c>
      <c r="S4" s="263" t="s">
        <v>651</v>
      </c>
      <c r="T4" s="264" t="s">
        <v>652</v>
      </c>
      <c r="U4" s="263" t="s">
        <v>653</v>
      </c>
      <c r="V4" s="265" t="s">
        <v>654</v>
      </c>
      <c r="W4" s="813" t="s">
        <v>521</v>
      </c>
      <c r="X4" s="814"/>
      <c r="Y4" s="434" t="s">
        <v>655</v>
      </c>
      <c r="Z4" s="435" t="s">
        <v>650</v>
      </c>
      <c r="AA4" s="293" t="s">
        <v>656</v>
      </c>
      <c r="AB4" s="436" t="s">
        <v>657</v>
      </c>
      <c r="AC4" s="293" t="s">
        <v>656</v>
      </c>
      <c r="AD4" s="436" t="s">
        <v>658</v>
      </c>
      <c r="AE4" s="293" t="s">
        <v>656</v>
      </c>
      <c r="AF4" s="436" t="s">
        <v>653</v>
      </c>
      <c r="AG4" s="293" t="s">
        <v>656</v>
      </c>
      <c r="AH4" s="436" t="s">
        <v>654</v>
      </c>
      <c r="AI4" s="293" t="s">
        <v>656</v>
      </c>
      <c r="AJ4" s="827" t="s">
        <v>659</v>
      </c>
      <c r="AK4" s="828"/>
      <c r="AL4" s="293" t="s">
        <v>656</v>
      </c>
      <c r="AM4" s="360" t="s">
        <v>660</v>
      </c>
      <c r="AN4" s="770" t="s">
        <v>661</v>
      </c>
      <c r="AO4" s="771"/>
      <c r="AP4" s="293"/>
      <c r="AQ4" s="361"/>
      <c r="AR4" s="472" t="s">
        <v>681</v>
      </c>
      <c r="AS4" s="783" t="s">
        <v>682</v>
      </c>
      <c r="AT4" s="784"/>
      <c r="AU4" s="528" t="s">
        <v>875</v>
      </c>
      <c r="AV4" s="530" t="s">
        <v>876</v>
      </c>
      <c r="AW4" s="531"/>
    </row>
    <row r="5" spans="1:161" ht="18.75" customHeight="1" thickTop="1" x14ac:dyDescent="0.2">
      <c r="B5" s="19" t="s">
        <v>65</v>
      </c>
      <c r="C5" s="454" t="s">
        <v>673</v>
      </c>
      <c r="D5" s="20" t="s">
        <v>66</v>
      </c>
      <c r="E5" s="20" t="s">
        <v>333</v>
      </c>
      <c r="F5" s="327"/>
      <c r="G5" s="40">
        <v>40269</v>
      </c>
      <c r="H5" s="351"/>
      <c r="I5" s="266">
        <f>IF($AZ5=0,"",DATEDIF($AZ5,参照データ!$D$16,"Y"))</f>
        <v>16</v>
      </c>
      <c r="J5" s="267"/>
      <c r="K5" s="267"/>
      <c r="L5" s="267"/>
      <c r="M5" s="267"/>
      <c r="N5" s="267"/>
      <c r="O5" s="268"/>
      <c r="P5" s="269"/>
      <c r="Q5" s="269"/>
      <c r="R5" s="270"/>
      <c r="S5" s="267" t="s">
        <v>662</v>
      </c>
      <c r="T5" s="267"/>
      <c r="U5" s="267"/>
      <c r="V5" s="271"/>
      <c r="W5" s="272" t="s">
        <v>526</v>
      </c>
      <c r="X5" s="273" t="s">
        <v>663</v>
      </c>
      <c r="Y5" s="437"/>
      <c r="Z5" s="362" t="str">
        <f>IF(団体情報・入力の仕方!$C$3="大田区大会","選手権","○")</f>
        <v>○</v>
      </c>
      <c r="AA5" s="347" t="str">
        <f>IF($Y$2="６種目選手権","女子U15","U15")</f>
        <v>U15</v>
      </c>
      <c r="AB5" s="363"/>
      <c r="AC5" s="347"/>
      <c r="AD5" s="363"/>
      <c r="AE5" s="347"/>
      <c r="AF5" s="363"/>
      <c r="AG5" s="347"/>
      <c r="AH5" s="363"/>
      <c r="AI5" s="347"/>
      <c r="AJ5" s="364" t="str">
        <f>IF(団体情報・入力の仕方!$C$3="大田区大会","選手権","○")</f>
        <v>○</v>
      </c>
      <c r="AK5" s="365" t="s">
        <v>663</v>
      </c>
      <c r="AL5" s="366" t="s">
        <v>900</v>
      </c>
      <c r="AM5" s="364"/>
      <c r="AN5" s="364" t="s">
        <v>665</v>
      </c>
      <c r="AO5" s="438" t="s">
        <v>663</v>
      </c>
      <c r="AP5" s="439"/>
      <c r="AQ5" s="367"/>
      <c r="AR5" s="473"/>
      <c r="AS5" s="467" t="s">
        <v>855</v>
      </c>
      <c r="AT5" s="474" t="s">
        <v>690</v>
      </c>
      <c r="AU5" s="467" t="s">
        <v>877</v>
      </c>
      <c r="AV5" s="533" t="s">
        <v>42</v>
      </c>
      <c r="AW5" s="474" t="s">
        <v>71</v>
      </c>
      <c r="AZ5">
        <f t="shared" ref="AZ5:AZ9" si="0">IF($D5="重複",VALUE($G4),VALUE($G5))</f>
        <v>40269</v>
      </c>
    </row>
    <row r="6" spans="1:161" ht="18.75" customHeight="1" x14ac:dyDescent="0.2">
      <c r="B6" s="38"/>
      <c r="C6" s="47"/>
      <c r="D6" s="46" t="s">
        <v>150</v>
      </c>
      <c r="E6" s="39"/>
      <c r="F6" s="327"/>
      <c r="G6" s="40"/>
      <c r="H6" s="352"/>
      <c r="I6" s="155"/>
      <c r="J6" s="267"/>
      <c r="K6" s="267"/>
      <c r="L6" s="267"/>
      <c r="M6" s="267"/>
      <c r="N6" s="267"/>
      <c r="O6" s="268"/>
      <c r="P6" s="274"/>
      <c r="Q6" s="274"/>
      <c r="R6" s="270"/>
      <c r="S6" s="267" t="s">
        <v>666</v>
      </c>
      <c r="T6" s="267"/>
      <c r="U6" s="267"/>
      <c r="V6" s="271"/>
      <c r="W6" s="275"/>
      <c r="X6" s="273"/>
      <c r="Y6" s="440"/>
      <c r="Z6" s="362"/>
      <c r="AA6" s="347"/>
      <c r="AB6" s="363"/>
      <c r="AC6" s="347"/>
      <c r="AD6" s="363"/>
      <c r="AE6" s="347"/>
      <c r="AF6" s="368"/>
      <c r="AG6" s="347"/>
      <c r="AH6" s="363"/>
      <c r="AI6" s="347"/>
      <c r="AJ6" s="369"/>
      <c r="AK6" s="365"/>
      <c r="AL6" s="370"/>
      <c r="AM6" s="369"/>
      <c r="AN6" s="369"/>
      <c r="AO6" s="438"/>
      <c r="AP6" s="441"/>
      <c r="AQ6" s="371"/>
      <c r="AR6" s="475"/>
      <c r="AS6" s="468"/>
      <c r="AT6" s="476"/>
      <c r="AU6" s="468"/>
      <c r="AV6" s="468"/>
      <c r="AW6" s="532"/>
      <c r="AZ6">
        <f t="shared" si="0"/>
        <v>40269</v>
      </c>
      <c r="BE6" t="s">
        <v>68</v>
      </c>
      <c r="DX6" s="322" t="s">
        <v>541</v>
      </c>
    </row>
    <row r="7" spans="1:161" ht="18.75" customHeight="1" x14ac:dyDescent="0.2">
      <c r="B7" s="22" t="s">
        <v>65</v>
      </c>
      <c r="C7" s="47" t="s">
        <v>673</v>
      </c>
      <c r="D7" s="23" t="s">
        <v>67</v>
      </c>
      <c r="E7" s="23" t="s">
        <v>334</v>
      </c>
      <c r="F7" s="327"/>
      <c r="G7" s="40">
        <v>37507</v>
      </c>
      <c r="H7" s="353"/>
      <c r="I7" s="266">
        <f>IF($AZ7=0,"",DATEDIF($AZ7,参照データ!$D$16,"Y"))</f>
        <v>23</v>
      </c>
      <c r="J7" s="267"/>
      <c r="K7" s="267"/>
      <c r="L7" s="267" t="s">
        <v>667</v>
      </c>
      <c r="M7" s="267"/>
      <c r="N7" s="267"/>
      <c r="O7" s="268"/>
      <c r="P7" s="274"/>
      <c r="Q7" s="274"/>
      <c r="R7" s="270"/>
      <c r="S7" s="267"/>
      <c r="T7" s="267"/>
      <c r="U7" s="267" t="s">
        <v>526</v>
      </c>
      <c r="V7" s="271"/>
      <c r="W7" s="275" t="s">
        <v>526</v>
      </c>
      <c r="X7" s="273" t="s">
        <v>668</v>
      </c>
      <c r="Y7" s="440"/>
      <c r="Z7" s="362"/>
      <c r="AA7" s="347"/>
      <c r="AB7" s="363"/>
      <c r="AC7" s="347"/>
      <c r="AD7" s="363" t="str">
        <f>IF(団体情報・入力の仕方!$C$3="大田区大会","選手権","○")</f>
        <v>○</v>
      </c>
      <c r="AE7" s="347" t="str">
        <f>IF($Y$2="６種目選手権","女子U22","U22")</f>
        <v>U22</v>
      </c>
      <c r="AF7" s="372"/>
      <c r="AG7" s="347"/>
      <c r="AH7" s="363"/>
      <c r="AI7" s="347"/>
      <c r="AJ7" s="373"/>
      <c r="AK7" s="365"/>
      <c r="AL7" s="374"/>
      <c r="AM7" s="373"/>
      <c r="AN7" s="373" t="s">
        <v>665</v>
      </c>
      <c r="AO7" s="438" t="s">
        <v>668</v>
      </c>
      <c r="AP7" s="438"/>
      <c r="AQ7" s="375"/>
      <c r="AR7" s="475" t="s">
        <v>688</v>
      </c>
      <c r="AS7" s="468" t="s">
        <v>688</v>
      </c>
      <c r="AT7" s="476" t="s">
        <v>87</v>
      </c>
      <c r="AU7" s="468" t="s">
        <v>679</v>
      </c>
      <c r="AV7" s="468" t="s">
        <v>42</v>
      </c>
      <c r="AW7" s="532" t="s">
        <v>691</v>
      </c>
      <c r="AZ7">
        <f t="shared" si="0"/>
        <v>37507</v>
      </c>
      <c r="B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U7" s="1"/>
      <c r="CV7" s="1"/>
      <c r="CW7" s="1"/>
      <c r="CX7" s="1"/>
      <c r="CY7" s="1"/>
      <c r="CZ7" s="1"/>
      <c r="DA7" s="1"/>
      <c r="DB7" s="1"/>
      <c r="DC7" s="1"/>
      <c r="DE7" s="1"/>
      <c r="DF7" s="1"/>
      <c r="DI7" s="1"/>
      <c r="DJ7" s="1"/>
      <c r="DK7" s="1"/>
      <c r="DL7" s="1"/>
      <c r="DM7" s="1"/>
      <c r="DN7" s="1"/>
      <c r="DP7" s="1"/>
      <c r="DQ7" s="1"/>
      <c r="DR7" s="1"/>
      <c r="DS7" s="1"/>
      <c r="DT7" s="1"/>
      <c r="DU7" s="1"/>
      <c r="DV7" s="1"/>
      <c r="DW7" s="1"/>
      <c r="DX7" s="1" t="s">
        <v>538</v>
      </c>
      <c r="DY7" s="322" t="s">
        <v>539</v>
      </c>
      <c r="DZ7" s="1"/>
      <c r="EA7" s="1"/>
    </row>
    <row r="8" spans="1:161" ht="18.75" customHeight="1" thickBot="1" x14ac:dyDescent="0.25">
      <c r="B8" s="22" t="s">
        <v>65</v>
      </c>
      <c r="C8" s="47" t="s">
        <v>673</v>
      </c>
      <c r="D8" s="23" t="s">
        <v>69</v>
      </c>
      <c r="E8" s="23" t="s">
        <v>335</v>
      </c>
      <c r="F8" s="54" t="s">
        <v>70</v>
      </c>
      <c r="G8" s="59">
        <v>41976</v>
      </c>
      <c r="H8" s="353"/>
      <c r="I8" s="266">
        <f>IF($AZ8=0,"",DATEDIF($AZ8,参照データ!$D$16,"Y"))</f>
        <v>11</v>
      </c>
      <c r="J8" s="276"/>
      <c r="K8" s="276"/>
      <c r="L8" s="276"/>
      <c r="M8" s="276"/>
      <c r="N8" s="276"/>
      <c r="O8" s="277"/>
      <c r="P8" s="278"/>
      <c r="Q8" s="278"/>
      <c r="R8" s="279" t="s">
        <v>524</v>
      </c>
      <c r="S8" s="276"/>
      <c r="T8" s="276"/>
      <c r="U8" s="276"/>
      <c r="V8" s="280"/>
      <c r="W8" s="281"/>
      <c r="X8" s="282"/>
      <c r="Y8" s="442" t="s">
        <v>664</v>
      </c>
      <c r="Z8" s="376"/>
      <c r="AA8" s="348"/>
      <c r="AB8" s="363"/>
      <c r="AC8" s="348"/>
      <c r="AD8" s="363"/>
      <c r="AE8" s="348"/>
      <c r="AF8" s="377"/>
      <c r="AG8" s="348"/>
      <c r="AH8" s="372" t="str">
        <f>IF(団体情報・入力の仕方!$C$3="大田区大会","選手権","○")</f>
        <v>○</v>
      </c>
      <c r="AI8" s="348" t="s">
        <v>901</v>
      </c>
      <c r="AJ8" s="378" t="str">
        <f>IF(団体情報・入力の仕方!$C$3="大田区大会","選手権","○")</f>
        <v>○</v>
      </c>
      <c r="AK8" s="365" t="s">
        <v>73</v>
      </c>
      <c r="AL8" s="374" t="s">
        <v>900</v>
      </c>
      <c r="AM8" s="378"/>
      <c r="AN8" s="373"/>
      <c r="AO8" s="438"/>
      <c r="AP8" s="438"/>
      <c r="AQ8" s="375"/>
      <c r="AR8" s="477" t="s">
        <v>687</v>
      </c>
      <c r="AS8" s="469" t="s">
        <v>855</v>
      </c>
      <c r="AT8" s="478" t="s">
        <v>73</v>
      </c>
      <c r="AU8" s="469" t="s">
        <v>877</v>
      </c>
      <c r="AV8" s="534" t="s">
        <v>42</v>
      </c>
      <c r="AW8" s="478" t="s">
        <v>73</v>
      </c>
      <c r="AZ8">
        <f t="shared" si="0"/>
        <v>41976</v>
      </c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U8" s="1"/>
      <c r="CV8" s="1"/>
      <c r="CW8" s="1"/>
      <c r="CX8" s="1"/>
      <c r="CY8" s="1"/>
      <c r="CZ8" s="1"/>
      <c r="DA8" s="1"/>
      <c r="DB8" s="1"/>
      <c r="DC8" s="1"/>
      <c r="DE8" s="1"/>
      <c r="DF8" s="1"/>
      <c r="DI8" s="1"/>
      <c r="DJ8" s="1"/>
      <c r="DK8" s="1"/>
      <c r="DL8" s="1"/>
      <c r="DM8" s="1"/>
      <c r="DN8" s="1"/>
      <c r="DP8" s="1"/>
      <c r="DQ8" s="1"/>
      <c r="DR8" s="1"/>
      <c r="DS8" s="1"/>
      <c r="DT8" s="1"/>
      <c r="DU8" s="1"/>
      <c r="DV8" s="1"/>
      <c r="DW8" s="1"/>
      <c r="DX8" s="1" t="s">
        <v>538</v>
      </c>
      <c r="DY8" s="322" t="s">
        <v>540</v>
      </c>
      <c r="DZ8" s="1"/>
      <c r="EA8" s="1"/>
      <c r="EB8" s="1"/>
      <c r="EC8" s="1"/>
      <c r="ED8" s="1"/>
      <c r="EE8" s="1"/>
      <c r="EF8" s="1"/>
      <c r="EG8" s="1"/>
      <c r="EH8"/>
      <c r="EI8"/>
      <c r="EJ8"/>
      <c r="EK8"/>
      <c r="EL8"/>
      <c r="EM8"/>
      <c r="EN8"/>
      <c r="EO8"/>
      <c r="EP8"/>
      <c r="EQ8"/>
      <c r="ER8" s="1"/>
      <c r="ES8" s="1"/>
      <c r="ET8" s="1"/>
      <c r="EU8" s="1"/>
      <c r="EV8" s="323"/>
      <c r="EW8" s="1"/>
      <c r="EX8" s="1"/>
      <c r="EY8" s="1"/>
      <c r="EZ8" s="1"/>
      <c r="FA8" s="1"/>
      <c r="FB8" s="1"/>
      <c r="FC8" s="1"/>
      <c r="FD8" s="1"/>
    </row>
    <row r="9" spans="1:161" ht="18.75" customHeight="1" thickBot="1" x14ac:dyDescent="0.25">
      <c r="B9" s="60" t="s">
        <v>65</v>
      </c>
      <c r="C9" s="61" t="s">
        <v>673</v>
      </c>
      <c r="D9" s="61" t="s">
        <v>72</v>
      </c>
      <c r="E9" s="61" t="s">
        <v>336</v>
      </c>
      <c r="F9" s="326" t="s">
        <v>70</v>
      </c>
      <c r="G9" s="45">
        <v>33288</v>
      </c>
      <c r="H9" s="354"/>
      <c r="I9" s="283">
        <f>IF($AZ9=0,"",DATEDIF($AZ9,参照データ!$D$16,"Y"))</f>
        <v>35</v>
      </c>
      <c r="J9" s="284"/>
      <c r="K9" s="284"/>
      <c r="L9" s="284"/>
      <c r="M9" s="284" t="s">
        <v>667</v>
      </c>
      <c r="N9" s="284"/>
      <c r="O9" s="285"/>
      <c r="P9" s="286"/>
      <c r="Q9" s="286"/>
      <c r="R9" s="287"/>
      <c r="S9" s="284"/>
      <c r="T9" s="284" t="s">
        <v>529</v>
      </c>
      <c r="U9" s="284"/>
      <c r="V9" s="288" t="s">
        <v>528</v>
      </c>
      <c r="W9" s="289"/>
      <c r="X9" s="290"/>
      <c r="Y9" s="443"/>
      <c r="Z9" s="379"/>
      <c r="AA9" s="349"/>
      <c r="AB9" s="380"/>
      <c r="AC9" s="349"/>
      <c r="AD9" s="380"/>
      <c r="AE9" s="349"/>
      <c r="AF9" s="380" t="str">
        <f>IF(団体情報・入力の仕方!$C$3="大田区大会","選手権","○")</f>
        <v>○</v>
      </c>
      <c r="AG9" s="349" t="str">
        <f>IF($Y$2="６種目選手権","男子O19","O19")</f>
        <v>O19</v>
      </c>
      <c r="AH9" s="381" t="str">
        <f>IF(団体情報・入力の仕方!$C$3="大田区大会","選手権","○")</f>
        <v>○</v>
      </c>
      <c r="AI9" s="349" t="str">
        <f>IF($Y$2="６種目選手権","O23","O19")</f>
        <v>O19</v>
      </c>
      <c r="AJ9" s="382"/>
      <c r="AK9" s="383"/>
      <c r="AL9" s="384"/>
      <c r="AM9" s="382"/>
      <c r="AN9" s="382"/>
      <c r="AO9" s="444"/>
      <c r="AP9" s="444"/>
      <c r="AQ9" s="385"/>
      <c r="AR9" s="479"/>
      <c r="AS9" s="470" t="s">
        <v>689</v>
      </c>
      <c r="AT9" s="480" t="s">
        <v>88</v>
      </c>
      <c r="AU9" s="470" t="s">
        <v>679</v>
      </c>
      <c r="AV9" s="535" t="s">
        <v>42</v>
      </c>
      <c r="AW9" s="480" t="s">
        <v>692</v>
      </c>
      <c r="AZ9">
        <f t="shared" si="0"/>
        <v>33288</v>
      </c>
      <c r="BB9" s="133"/>
      <c r="BE9" s="1"/>
      <c r="BF9" s="674" t="s">
        <v>645</v>
      </c>
      <c r="BG9" s="675"/>
      <c r="BH9" s="675"/>
      <c r="BI9" s="675"/>
      <c r="BJ9" s="675"/>
      <c r="BK9" s="676"/>
      <c r="BL9" s="674" t="s">
        <v>456</v>
      </c>
      <c r="BM9" s="675"/>
      <c r="BN9" s="675"/>
      <c r="BO9" s="675"/>
      <c r="BP9" s="675"/>
      <c r="BQ9" s="676"/>
      <c r="BR9" s="220" t="s">
        <v>644</v>
      </c>
      <c r="BS9" s="781" t="s">
        <v>49</v>
      </c>
      <c r="BT9" s="781"/>
      <c r="BU9" s="781"/>
      <c r="BV9" s="781"/>
      <c r="BW9" s="781"/>
      <c r="BX9" s="781"/>
      <c r="BY9" s="781"/>
      <c r="BZ9" s="781"/>
      <c r="CA9" s="781"/>
      <c r="CB9" s="781"/>
      <c r="CC9" s="782"/>
      <c r="CF9" s="310" t="s">
        <v>711</v>
      </c>
      <c r="CG9" s="311"/>
      <c r="CH9" s="311"/>
      <c r="CI9" s="311"/>
      <c r="CJ9" s="311"/>
      <c r="CK9" s="311"/>
      <c r="CL9" s="311"/>
      <c r="CM9" s="311"/>
      <c r="CN9" s="311"/>
      <c r="CO9" s="311"/>
      <c r="CP9" s="311"/>
      <c r="CQ9" s="311"/>
      <c r="CR9" s="311"/>
      <c r="CS9" s="311"/>
      <c r="CT9" s="311"/>
      <c r="CU9" s="311"/>
      <c r="CV9" s="311"/>
      <c r="CW9" s="311"/>
      <c r="CX9" s="311"/>
      <c r="CY9" s="311"/>
      <c r="CZ9" s="311"/>
      <c r="DA9" s="311"/>
      <c r="DB9" s="311"/>
      <c r="DC9" s="311"/>
      <c r="DD9" s="311"/>
      <c r="DE9" s="311"/>
      <c r="DF9" s="311"/>
      <c r="DI9" s="306" t="s">
        <v>410</v>
      </c>
      <c r="DJ9" s="306"/>
      <c r="DK9" s="306"/>
      <c r="DL9" s="306"/>
      <c r="DM9" s="306"/>
      <c r="DN9" s="306"/>
      <c r="DP9" s="306"/>
      <c r="DQ9" s="306"/>
      <c r="DR9" s="306"/>
      <c r="DS9" s="306"/>
      <c r="DT9" s="306"/>
      <c r="DU9" s="306"/>
      <c r="DV9" s="306"/>
      <c r="DW9" s="306"/>
      <c r="DX9" s="306"/>
      <c r="DY9" s="306"/>
      <c r="DZ9" s="306"/>
      <c r="EA9" s="306"/>
      <c r="EX9" s="144" t="s">
        <v>84</v>
      </c>
      <c r="EY9" s="144"/>
      <c r="EZ9" s="144"/>
      <c r="FB9" s="147" t="s">
        <v>29</v>
      </c>
      <c r="FC9" s="148">
        <f>SUM(EX10:FD10)</f>
        <v>0</v>
      </c>
      <c r="FD9" s="490"/>
    </row>
    <row r="10" spans="1:161" ht="18.75" customHeight="1" thickBot="1" x14ac:dyDescent="0.25">
      <c r="B10" s="668" t="s">
        <v>286</v>
      </c>
      <c r="C10" s="669"/>
      <c r="D10" s="669"/>
      <c r="E10" s="669"/>
      <c r="F10" s="669"/>
      <c r="G10" s="670"/>
      <c r="H10" s="749"/>
      <c r="I10" s="693"/>
      <c r="J10" s="695">
        <f>COUNTIF(J$12:J$71,"○")</f>
        <v>0</v>
      </c>
      <c r="K10" s="695">
        <f>COUNTIF(K$12:K$71,"○")</f>
        <v>0</v>
      </c>
      <c r="L10" s="695">
        <f>COUNTIF(L$12:L$71,"○")</f>
        <v>0</v>
      </c>
      <c r="M10" s="695">
        <f>COUNTIF(M$12:M$71,"○")</f>
        <v>0</v>
      </c>
      <c r="N10" s="291">
        <f t="shared" ref="N10:O10" si="1">COUNTIF(N$12:N$71,"20日")</f>
        <v>0</v>
      </c>
      <c r="O10" s="291">
        <f t="shared" si="1"/>
        <v>0</v>
      </c>
      <c r="P10" s="817">
        <f>COUNTIF($P$12:$P$71,"○")</f>
        <v>0</v>
      </c>
      <c r="Q10" s="817">
        <f>COUNTIF($Q$12:$Q$71,"○")</f>
        <v>0</v>
      </c>
      <c r="R10" s="754">
        <f>COUNTIF(R12:R71,"**")</f>
        <v>0</v>
      </c>
      <c r="S10" s="756">
        <f>COUNTIF(S12:S71,"**")</f>
        <v>0</v>
      </c>
      <c r="T10" s="756">
        <f>COUNTIF(T12:T71,"**")</f>
        <v>0</v>
      </c>
      <c r="U10" s="756">
        <f>COUNTIF(U12:U71,"**")</f>
        <v>0</v>
      </c>
      <c r="V10" s="756">
        <f>COUNTIF(V12:V71,"**")</f>
        <v>0</v>
      </c>
      <c r="W10" s="757">
        <f>COUNTA($W$12:$W$71)/2</f>
        <v>0</v>
      </c>
      <c r="X10" s="758"/>
      <c r="Y10" s="809">
        <f>COUNTIF($Y$12:$Y$72,"○")</f>
        <v>0</v>
      </c>
      <c r="Z10" s="819">
        <f>IF($Y$2="６種目選手権",COUNTIF($Z$12:$Z$71,"選手権"),COUNTIF($Z$12:$Z$71,"○"))</f>
        <v>0</v>
      </c>
      <c r="AA10" s="702"/>
      <c r="AB10" s="701">
        <f>IF($Y$2="６種目選手権",COUNTIF($AB$12:$AB$71,"選手権"),COUNTIF($AB$12:$AB$71,"○"))</f>
        <v>0</v>
      </c>
      <c r="AC10" s="702"/>
      <c r="AD10" s="701">
        <f>IF($Y$2="６種目選手権",COUNTIF($AD$12:$AD$71,"選手権"),COUNTIF($AD$12:$AD$71,"○"))</f>
        <v>0</v>
      </c>
      <c r="AE10" s="702"/>
      <c r="AF10" s="701">
        <f>IF($Y$2="６種目選手権",COUNTIF($AF$12:$AF$71,"選手権"),COUNTIF($AF$12:$AF$71,"○"))</f>
        <v>0</v>
      </c>
      <c r="AG10" s="702"/>
      <c r="AH10" s="701">
        <f>IF($Y$2="６種目選手権",COUNTIF($AH$12:$AH$71,"選手権"),COUNTIF($AH$12:$AH$71,"○"))</f>
        <v>0</v>
      </c>
      <c r="AI10" s="702"/>
      <c r="AJ10" s="705">
        <f>IF($Y$2="６種目選手権",ROUNDDOWN(COUNTIF($AJ$12:$AJ$71,"選手権")/2,0),ROUNDDOWN(COUNTIF($AJ$12:$AJ$71,"○")/2,0))</f>
        <v>0</v>
      </c>
      <c r="AK10" s="706"/>
      <c r="AL10" s="707"/>
      <c r="AM10" s="386">
        <f>COUNTIF($AM$12:$AM$71,"オープン")</f>
        <v>0</v>
      </c>
      <c r="AN10" s="811">
        <f>COUNTIF($AN$12:$AN$71,"オープン")/2</f>
        <v>0</v>
      </c>
      <c r="AO10" s="812"/>
      <c r="AP10" s="445"/>
      <c r="AQ10" s="719"/>
      <c r="AR10" s="711">
        <f>COUNTIF(AR12:AR71,"**")</f>
        <v>0</v>
      </c>
      <c r="AS10" s="713"/>
      <c r="AT10" s="714"/>
      <c r="AU10" s="713"/>
      <c r="AV10" s="721"/>
      <c r="AW10" s="714"/>
      <c r="AZ10" s="767" t="s">
        <v>211</v>
      </c>
      <c r="BA10" s="767"/>
      <c r="BB10" s="133"/>
      <c r="BE10" s="1"/>
      <c r="BF10" s="155"/>
      <c r="BG10" s="146"/>
      <c r="BH10" s="146"/>
      <c r="BI10" s="146"/>
      <c r="BJ10" s="146"/>
      <c r="BK10" s="156"/>
      <c r="BL10" s="155"/>
      <c r="BM10" s="146"/>
      <c r="BN10" s="146"/>
      <c r="BO10" s="146"/>
      <c r="BP10" s="146"/>
      <c r="BQ10" s="156"/>
      <c r="BR10" s="221"/>
      <c r="BS10" s="699" t="s">
        <v>214</v>
      </c>
      <c r="BT10" s="697" t="s">
        <v>215</v>
      </c>
      <c r="BU10" s="697" t="s">
        <v>216</v>
      </c>
      <c r="BV10" s="697" t="s">
        <v>218</v>
      </c>
      <c r="BW10" s="697" t="s">
        <v>287</v>
      </c>
      <c r="BX10" s="751" t="s">
        <v>217</v>
      </c>
      <c r="BY10" s="752"/>
      <c r="BZ10" s="752"/>
      <c r="CA10" s="752"/>
      <c r="CB10" s="752"/>
      <c r="CC10" s="753"/>
      <c r="CF10" s="726" t="s">
        <v>288</v>
      </c>
      <c r="CG10" s="727"/>
      <c r="CH10" s="726" t="s">
        <v>289</v>
      </c>
      <c r="CI10" s="727"/>
      <c r="CJ10" s="726" t="s">
        <v>290</v>
      </c>
      <c r="CK10" s="727"/>
      <c r="CL10" s="726" t="s">
        <v>75</v>
      </c>
      <c r="CM10" s="727"/>
      <c r="CN10" s="729" t="s">
        <v>74</v>
      </c>
      <c r="CO10" s="730"/>
      <c r="CP10" s="726" t="s">
        <v>76</v>
      </c>
      <c r="CQ10" s="728"/>
      <c r="CR10" s="728"/>
      <c r="CS10" s="728"/>
      <c r="CT10" s="728"/>
      <c r="CU10" s="728"/>
      <c r="CV10" s="728"/>
      <c r="CW10" s="324"/>
      <c r="CX10" s="679" t="s">
        <v>321</v>
      </c>
      <c r="CY10" s="680"/>
      <c r="CZ10" s="793" t="s">
        <v>421</v>
      </c>
      <c r="DA10" s="793"/>
      <c r="DB10" s="793"/>
      <c r="DC10" s="793"/>
      <c r="DD10" s="793"/>
      <c r="DE10" s="793"/>
      <c r="DF10" s="793"/>
      <c r="DG10" s="731" t="s">
        <v>537</v>
      </c>
      <c r="DH10" s="305" t="s">
        <v>474</v>
      </c>
      <c r="DI10" s="150" t="s">
        <v>288</v>
      </c>
      <c r="DJ10" s="151"/>
      <c r="DK10" s="152" t="s">
        <v>289</v>
      </c>
      <c r="DL10" s="151"/>
      <c r="DM10" s="152" t="s">
        <v>290</v>
      </c>
      <c r="DN10" s="151"/>
      <c r="DP10" s="724" t="s">
        <v>20</v>
      </c>
      <c r="DQ10" s="740"/>
      <c r="DR10" s="738" t="s">
        <v>74</v>
      </c>
      <c r="DS10" s="739"/>
      <c r="DT10" s="724" t="s">
        <v>36</v>
      </c>
      <c r="DU10" s="725"/>
      <c r="DV10" s="725"/>
      <c r="DW10" s="725"/>
      <c r="DX10" s="725"/>
      <c r="DY10" s="725"/>
      <c r="DZ10" s="725"/>
      <c r="EA10" s="309"/>
      <c r="EC10" s="491" t="s">
        <v>680</v>
      </c>
      <c r="EH10" s="18" t="s">
        <v>0</v>
      </c>
      <c r="ER10" s="792">
        <f>SUM(EV12:EV71)</f>
        <v>0</v>
      </c>
      <c r="ES10" s="792"/>
      <c r="ET10" s="792"/>
      <c r="EU10" s="792"/>
      <c r="EV10" s="792"/>
      <c r="EX10" s="145">
        <f t="shared" ref="EX10:FD10" si="2">SUM(EX12:EX71)</f>
        <v>0</v>
      </c>
      <c r="EY10" s="145">
        <f t="shared" si="2"/>
        <v>0</v>
      </c>
      <c r="EZ10" s="145">
        <f t="shared" si="2"/>
        <v>0</v>
      </c>
      <c r="FA10" s="145">
        <f t="shared" si="2"/>
        <v>0</v>
      </c>
      <c r="FB10" s="145">
        <f t="shared" si="2"/>
        <v>0</v>
      </c>
      <c r="FC10" s="145">
        <f t="shared" si="2"/>
        <v>0</v>
      </c>
      <c r="FD10" s="145">
        <f t="shared" si="2"/>
        <v>0</v>
      </c>
    </row>
    <row r="11" spans="1:161" s="24" customFormat="1" ht="18.75" customHeight="1" thickBot="1" x14ac:dyDescent="0.25">
      <c r="B11" s="671"/>
      <c r="C11" s="672"/>
      <c r="D11" s="672"/>
      <c r="E11" s="672"/>
      <c r="F11" s="672"/>
      <c r="G11" s="673"/>
      <c r="H11" s="750"/>
      <c r="I11" s="694"/>
      <c r="J11" s="696"/>
      <c r="K11" s="696"/>
      <c r="L11" s="696"/>
      <c r="M11" s="696"/>
      <c r="N11" s="292"/>
      <c r="O11" s="292"/>
      <c r="P11" s="818"/>
      <c r="Q11" s="818"/>
      <c r="R11" s="755"/>
      <c r="S11" s="696"/>
      <c r="T11" s="696"/>
      <c r="U11" s="696"/>
      <c r="V11" s="696"/>
      <c r="W11" s="759"/>
      <c r="X11" s="760"/>
      <c r="Y11" s="810"/>
      <c r="Z11" s="820"/>
      <c r="AA11" s="704"/>
      <c r="AB11" s="703"/>
      <c r="AC11" s="704"/>
      <c r="AD11" s="703"/>
      <c r="AE11" s="704"/>
      <c r="AF11" s="703"/>
      <c r="AG11" s="704"/>
      <c r="AH11" s="703"/>
      <c r="AI11" s="704"/>
      <c r="AJ11" s="708"/>
      <c r="AK11" s="709"/>
      <c r="AL11" s="710"/>
      <c r="AM11" s="387"/>
      <c r="AN11" s="717"/>
      <c r="AO11" s="718"/>
      <c r="AP11" s="446"/>
      <c r="AQ11" s="720"/>
      <c r="AR11" s="712"/>
      <c r="AS11" s="715"/>
      <c r="AT11" s="716"/>
      <c r="AU11" s="715"/>
      <c r="AV11" s="722"/>
      <c r="AW11" s="716"/>
      <c r="AZ11" s="1" t="s">
        <v>471</v>
      </c>
      <c r="BA11" s="1" t="s">
        <v>178</v>
      </c>
      <c r="BB11" s="1"/>
      <c r="BC11" s="190"/>
      <c r="BD11" s="514" t="s">
        <v>841</v>
      </c>
      <c r="BE11" s="25" t="s">
        <v>77</v>
      </c>
      <c r="BF11" s="155" t="s">
        <v>149</v>
      </c>
      <c r="BG11" s="146" t="s">
        <v>146</v>
      </c>
      <c r="BH11" s="146" t="s">
        <v>147</v>
      </c>
      <c r="BI11" s="146" t="s">
        <v>148</v>
      </c>
      <c r="BJ11" s="146" t="s">
        <v>212</v>
      </c>
      <c r="BK11" s="156" t="s">
        <v>213</v>
      </c>
      <c r="BL11" s="155" t="s">
        <v>149</v>
      </c>
      <c r="BM11" s="146" t="s">
        <v>146</v>
      </c>
      <c r="BN11" s="146" t="s">
        <v>147</v>
      </c>
      <c r="BO11" s="146" t="s">
        <v>148</v>
      </c>
      <c r="BP11" s="146" t="s">
        <v>212</v>
      </c>
      <c r="BQ11" s="156" t="s">
        <v>213</v>
      </c>
      <c r="BR11" s="222"/>
      <c r="BS11" s="700"/>
      <c r="BT11" s="698"/>
      <c r="BU11" s="698"/>
      <c r="BV11" s="698"/>
      <c r="BW11" s="698"/>
      <c r="BX11" s="134" t="s">
        <v>219</v>
      </c>
      <c r="BY11" s="134" t="s">
        <v>220</v>
      </c>
      <c r="BZ11" s="62" t="s">
        <v>221</v>
      </c>
      <c r="CA11" s="62" t="s">
        <v>222</v>
      </c>
      <c r="CB11" s="63" t="s">
        <v>82</v>
      </c>
      <c r="CC11" s="153" t="s">
        <v>223</v>
      </c>
      <c r="CD11"/>
      <c r="CE11" s="189" t="s">
        <v>409</v>
      </c>
      <c r="CF11" s="170" t="s">
        <v>78</v>
      </c>
      <c r="CG11" s="69" t="s">
        <v>79</v>
      </c>
      <c r="CH11" s="68" t="s">
        <v>78</v>
      </c>
      <c r="CI11" s="69" t="s">
        <v>79</v>
      </c>
      <c r="CJ11" s="68" t="s">
        <v>78</v>
      </c>
      <c r="CK11" s="69" t="s">
        <v>79</v>
      </c>
      <c r="CL11" s="68" t="s">
        <v>78</v>
      </c>
      <c r="CM11" s="69" t="s">
        <v>79</v>
      </c>
      <c r="CN11" s="68" t="s">
        <v>78</v>
      </c>
      <c r="CO11" s="69" t="s">
        <v>79</v>
      </c>
      <c r="CP11" s="451" t="s">
        <v>80</v>
      </c>
      <c r="CQ11" s="27" t="s">
        <v>480</v>
      </c>
      <c r="CR11" s="69" t="s">
        <v>79</v>
      </c>
      <c r="CS11" s="72" t="s">
        <v>81</v>
      </c>
      <c r="CT11" s="72" t="s">
        <v>80</v>
      </c>
      <c r="CU11" s="73" t="s">
        <v>77</v>
      </c>
      <c r="CV11" s="74" t="s">
        <v>83</v>
      </c>
      <c r="CW11" s="68" t="s">
        <v>481</v>
      </c>
      <c r="CX11" s="68" t="s">
        <v>319</v>
      </c>
      <c r="CY11" s="171" t="s">
        <v>320</v>
      </c>
      <c r="CZ11" s="169" t="s">
        <v>62</v>
      </c>
      <c r="DA11" s="27" t="s">
        <v>78</v>
      </c>
      <c r="DB11" s="157" t="s">
        <v>79</v>
      </c>
      <c r="DC11" s="158" t="s">
        <v>81</v>
      </c>
      <c r="DD11" s="158" t="s">
        <v>62</v>
      </c>
      <c r="DE11" s="159" t="s">
        <v>82</v>
      </c>
      <c r="DF11" s="160" t="s">
        <v>83</v>
      </c>
      <c r="DG11" s="731"/>
      <c r="DH11" s="189" t="s">
        <v>409</v>
      </c>
      <c r="DI11" s="82" t="s">
        <v>78</v>
      </c>
      <c r="DJ11" s="83" t="s">
        <v>79</v>
      </c>
      <c r="DK11" s="82" t="s">
        <v>78</v>
      </c>
      <c r="DL11" s="83" t="s">
        <v>79</v>
      </c>
      <c r="DM11" s="82" t="s">
        <v>78</v>
      </c>
      <c r="DN11" s="83" t="s">
        <v>79</v>
      </c>
      <c r="DO11" s="189" t="s">
        <v>409</v>
      </c>
      <c r="DP11" s="82" t="s">
        <v>78</v>
      </c>
      <c r="DQ11" s="83" t="s">
        <v>79</v>
      </c>
      <c r="DR11" s="82" t="s">
        <v>78</v>
      </c>
      <c r="DS11" s="83" t="s">
        <v>79</v>
      </c>
      <c r="DT11" s="26" t="s">
        <v>62</v>
      </c>
      <c r="DU11" s="27" t="s">
        <v>480</v>
      </c>
      <c r="DV11" s="83" t="s">
        <v>79</v>
      </c>
      <c r="DW11" s="86" t="s">
        <v>81</v>
      </c>
      <c r="DX11" s="86" t="s">
        <v>62</v>
      </c>
      <c r="DY11" s="87" t="s">
        <v>77</v>
      </c>
      <c r="DZ11" s="88" t="s">
        <v>83</v>
      </c>
      <c r="EA11" s="83" t="s">
        <v>482</v>
      </c>
      <c r="EC11" s="492" t="s">
        <v>681</v>
      </c>
      <c r="EH11" s="28" t="s">
        <v>292</v>
      </c>
      <c r="EI11" s="96" t="s">
        <v>885</v>
      </c>
      <c r="EJ11" s="96" t="s">
        <v>644</v>
      </c>
      <c r="EK11" s="96" t="s">
        <v>293</v>
      </c>
      <c r="EL11" s="96" t="s">
        <v>294</v>
      </c>
      <c r="EM11" s="96" t="s">
        <v>670</v>
      </c>
      <c r="EN11" s="96" t="s">
        <v>295</v>
      </c>
      <c r="EO11" s="96" t="s">
        <v>323</v>
      </c>
      <c r="EP11" s="96" t="s">
        <v>329</v>
      </c>
      <c r="EQ11" s="96" t="s">
        <v>291</v>
      </c>
      <c r="ER11" s="29" t="s">
        <v>296</v>
      </c>
      <c r="ES11" s="29" t="s">
        <v>706</v>
      </c>
      <c r="ET11" s="29" t="s">
        <v>707</v>
      </c>
      <c r="EU11" s="29" t="s">
        <v>886</v>
      </c>
      <c r="EV11" s="97" t="s">
        <v>29</v>
      </c>
      <c r="EW11" s="30"/>
      <c r="EX11" s="30" t="s">
        <v>292</v>
      </c>
      <c r="EY11" s="30" t="s">
        <v>885</v>
      </c>
      <c r="EZ11" s="30" t="s">
        <v>644</v>
      </c>
      <c r="FA11" s="30" t="s">
        <v>324</v>
      </c>
      <c r="FB11" s="30" t="s">
        <v>325</v>
      </c>
      <c r="FC11" t="s">
        <v>318</v>
      </c>
      <c r="FD11" s="30" t="s">
        <v>681</v>
      </c>
      <c r="FE11" s="30" t="s">
        <v>326</v>
      </c>
    </row>
    <row r="12" spans="1:161" ht="18.75" customHeight="1" thickTop="1" x14ac:dyDescent="0.2">
      <c r="A12">
        <v>1</v>
      </c>
      <c r="B12" s="44" t="str">
        <f>IF(D12="","",IF(D12="重複","",1))</f>
        <v/>
      </c>
      <c r="C12" s="463"/>
      <c r="D12" s="177"/>
      <c r="E12" s="177"/>
      <c r="F12" s="31"/>
      <c r="G12" s="41"/>
      <c r="H12" s="351">
        <f>EV12</f>
        <v>0</v>
      </c>
      <c r="I12" s="193" t="str">
        <f>IF($AZ12=0,"",DATEDIF($AZ12,参照データ!$D$16,"Y"))</f>
        <v/>
      </c>
      <c r="J12" s="36"/>
      <c r="K12" s="36"/>
      <c r="L12" s="36"/>
      <c r="M12" s="36"/>
      <c r="N12" s="36"/>
      <c r="O12" s="42"/>
      <c r="P12" s="345"/>
      <c r="Q12" s="345"/>
      <c r="R12" s="43"/>
      <c r="S12" s="244"/>
      <c r="T12" s="244"/>
      <c r="U12" s="244"/>
      <c r="V12" s="245"/>
      <c r="W12" s="246"/>
      <c r="X12" s="250"/>
      <c r="Y12" s="345"/>
      <c r="Z12" s="388"/>
      <c r="AA12" s="346" t="str">
        <f>IF($Z12="○",VLOOKUP($CE12,参照データ!$D$65:$M$82,9,0),IF($Z12="選手権",VLOOKUP($DH12,参照データ!$D$88:$O$117,10,0),""))</f>
        <v/>
      </c>
      <c r="AB12" s="388"/>
      <c r="AC12" s="346" t="str">
        <f>IF($AB12="○",VLOOKUP($CE12,参照データ!$D$65:$M$82,10,0),IF($AB12="選手権",VLOOKUP($DH12,参照データ!$D$88:$O$117,11,0),""))</f>
        <v/>
      </c>
      <c r="AD12" s="388"/>
      <c r="AE12" s="346" t="str">
        <f>IF($AD12="○",VLOOKUP($CE12,参照データ!$D$65:$M$82,10,0),IF($AD12="選手権",VLOOKUP($DH12,参照データ!$D$88:$O$117,11,0),""))</f>
        <v/>
      </c>
      <c r="AF12" s="388"/>
      <c r="AG12" s="346" t="str">
        <f>IF($AF12="○",VLOOKUP($CE12,参照データ!$D$65:$M$82,10,0),IF($AF12="選手権",VLOOKUP($DO12,参照データ!$D$88:$O$117,12,0),""))</f>
        <v/>
      </c>
      <c r="AH12" s="388"/>
      <c r="AI12" s="346" t="str">
        <f>IF($AH12="○",VLOOKUP($CE12,参照データ!$D$65:$M$82,10,0),IF($AH12="選手権",VLOOKUP($DO12,参照データ!$D$88:$O$117,12,0),""))</f>
        <v/>
      </c>
      <c r="AJ12" s="388"/>
      <c r="AK12" s="510"/>
      <c r="AL12" s="346" t="str">
        <f t="shared" ref="AL12:AL43" si="3">IF($AJ12="○",VLOOKUP($AK12,$CP:$CQ,2,0),IF($AJ12="選手権",VLOOKUP($AK12,$DT:$DU,2,0),""))</f>
        <v/>
      </c>
      <c r="AM12" s="390"/>
      <c r="AN12" s="391"/>
      <c r="AO12" s="391"/>
      <c r="AP12" s="447"/>
      <c r="AQ12" s="321"/>
      <c r="AR12" s="481"/>
      <c r="AS12" s="392"/>
      <c r="AT12" s="482"/>
      <c r="AU12" s="392"/>
      <c r="AV12" s="529"/>
      <c r="AW12" s="482"/>
      <c r="AY12" s="191" t="s">
        <v>669</v>
      </c>
      <c r="AZ12">
        <f>VALUE($G12)</f>
        <v>0</v>
      </c>
      <c r="BA12" t="str">
        <f>IF($D12="","",$F12)</f>
        <v/>
      </c>
      <c r="BB12" s="132"/>
      <c r="BD12" s="513" t="str">
        <f t="shared" ref="BD12:BD43" si="4">IF(AZ12=0,"",IF(I12&gt;=30,"○",""))</f>
        <v/>
      </c>
      <c r="BE12" s="53" t="str">
        <f>IF($AZ12=0,"",IF(AND($I12&gt;=6,$I12&lt;=19),VLOOKUP($I12,参照データ!$B$24:$C$37,2,0),IF($I12&lt;6,6,19)))</f>
        <v/>
      </c>
      <c r="BF12" s="155" t="str">
        <f>IF($J12="○",VLOOKUP($BE12,参照データ!$C$24:$I$37,2,0),"")</f>
        <v/>
      </c>
      <c r="BG12" s="146" t="str">
        <f>IF($K12="○",VLOOKUP($BE12,参照データ!$C$24:$I$37,3,0),"")</f>
        <v/>
      </c>
      <c r="BH12" s="146" t="str">
        <f>IF($L12="○",VLOOKUP($BE12,参照データ!$C$24:$I$37,4,0),"")</f>
        <v/>
      </c>
      <c r="BI12" s="146" t="str">
        <f>IF($M12="○",VLOOKUP($BE12,参照データ!$C$24:$I$37,5,0),"")</f>
        <v/>
      </c>
      <c r="BJ12" s="146" t="str">
        <f>IF($N12="20日",VLOOKUP($BE12,参照データ!$C$24:$I$37,6,0),"")</f>
        <v/>
      </c>
      <c r="BK12" s="156" t="str">
        <f>IF($O12="20日",VLOOKUP($BE12,参照データ!$C$24:$I$37,7,0),"")</f>
        <v/>
      </c>
      <c r="BL12" s="155" t="str">
        <f>IF($J12="21日",VLOOKUP($BE12,参照データ!$C$24:$I$37,2,0),"")</f>
        <v/>
      </c>
      <c r="BM12" s="146" t="str">
        <f>IF($K12="21日",VLOOKUP($BE12,参照データ!$C$24:$I$37,3,0),"")</f>
        <v/>
      </c>
      <c r="BN12" s="146" t="str">
        <f>IF($L12="21日",VLOOKUP($BE12,参照データ!$C$24:$I$37,4,0),"")</f>
        <v/>
      </c>
      <c r="BO12" s="146" t="str">
        <f>IF($M12="21日",VLOOKUP($BE12,参照データ!$C$24:$I$37,5,0),"")</f>
        <v/>
      </c>
      <c r="BP12" s="146" t="str">
        <f>IF($N12="21日",VLOOKUP($BE12,参照データ!$C$24:$I$37,6,0),"")</f>
        <v/>
      </c>
      <c r="BQ12" s="156" t="str">
        <f>IF($O12="21日",VLOOKUP($BE12,参照データ!$C$24:$I$37,7,0),"")</f>
        <v/>
      </c>
      <c r="BR12" s="223" t="str">
        <f>IF($Y12="○",1,"")</f>
        <v/>
      </c>
      <c r="BS12" s="154" t="str">
        <f>IF($R12="入門",VLOOKUP($BE12,参照データ!$C$43:$U$56,2,0),IF($R12="初級",VLOOKUP($BE12,参照データ!$C$43:$U$56,3,0),IF($R12="中級",VLOOKUP($BE12,参照データ!$C$43:$U$56,4,0),IF($R12="上級",VLOOKUP($BE12,参照データ!$C$43:$U$56,5,0),""))))</f>
        <v/>
      </c>
      <c r="BT12" s="154" t="str">
        <f>IF($S12="初級",VLOOKUP($BE12,参照データ!$C$43:$U$56,6,0),IF($S12="中級",VLOOKUP($BE12,参照データ!$C$43:$U$56,7,0),IF($S12="上級",VLOOKUP($BE12,参照データ!$C$43:$U$56,8,0),"")))</f>
        <v/>
      </c>
      <c r="BU12" s="154" t="str">
        <f>IF($T12="初級",VLOOKUP($BE12,参照データ!$C$43:$U$56,9,0),IF($T12="上級",VLOOKUP($BE12,参照データ!$C$43:$U$56,10,0),""))</f>
        <v/>
      </c>
      <c r="BV12" s="154" t="str">
        <f>IF($U12="初級",VLOOKUP($BE12,参照データ!$C$43:$U$56,11,0),IF($U12="中級",VLOOKUP($BE12,参照データ!$C$43:$U$56,12,0),IF($U12="上級",VLOOKUP($BE12,参照データ!$C$43:$U$56,13,0),"")))</f>
        <v/>
      </c>
      <c r="BW12" s="154" t="str">
        <f>IF($V12="初級",VLOOKUP($BE12,参照データ!$C$43:$U$56,14,0),IF($V12="中級",VLOOKUP($BE12,参照データ!$C$43:$U$56,15,0),IF($V12="上級",VLOOKUP($BE12,参照データ!$C$43:$U$56,16,0),"")))</f>
        <v/>
      </c>
      <c r="BX12" s="47" t="str">
        <f t="shared" ref="BX12:BX71" si="5">IF($X12="","",$X12)</f>
        <v/>
      </c>
      <c r="BY12" s="47" t="str">
        <f>IF($W12="初級",VLOOKUP($BE12,参照データ!$C$43:$U$56,17,0),IF($W12="中級",VLOOKUP($BE12,参照データ!$C$43:$U$56,18,0),IF($W12="上級",VLOOKUP($BE12,参照データ!$C$43:$U$56,19,0),"")))</f>
        <v/>
      </c>
      <c r="BZ12" s="692">
        <v>1</v>
      </c>
      <c r="CA12" s="64" t="s">
        <v>224</v>
      </c>
      <c r="CB12" s="136" t="str">
        <f>IF(COUNTIF($BX$12:$BY$71,$CA12)&gt;=1,VLOOKUP($CA12,$BX$12:$BY$71,2,0),"")</f>
        <v/>
      </c>
      <c r="CC12" s="688" t="str">
        <f>IF(OR($CB12="",$CB13=""),"",IF($CB12&gt;$CB13,$CB12,$CB13))</f>
        <v/>
      </c>
      <c r="CE12" s="53" t="str">
        <f>IF(AND($AZ12&gt;=参照データ!$C$67,$AZ12&lt;=参照データ!$C$65),1,IF(AND($AZ12&gt;=参照データ!$C$70,$AZ12&lt;=参照データ!$C$68),2,IF(AND($AZ12&gt;=参照データ!$C$73,$AZ12&lt;=参照データ!$C$71),3,IF(AND($AZ12&gt;=参照データ!$C$76,$AZ12&lt;=参照データ!$C$74),4,IF(AND($AZ12&gt;=参照データ!$C$79,$AZ12&lt;=参照データ!$C$77),5,IF(AND($AZ12&gt;0,$AZ12&lt;=参照データ!$C$80),6,""))))))</f>
        <v/>
      </c>
      <c r="CF12" s="141" t="str">
        <f>IF($Z12="○",(VLOOKUP($CE12,参照データ!$D$65:$J$82,2,0)),"")</f>
        <v/>
      </c>
      <c r="CG12" s="71" t="str">
        <f>IF($CF12="","","S")</f>
        <v/>
      </c>
      <c r="CH12" s="70" t="str">
        <f>IF($AB12="○",(VLOOKUP($CE12,参照データ!$D$65:$J$82,3,0)),"")</f>
        <v/>
      </c>
      <c r="CI12" s="71" t="str">
        <f>IF($CH12="","","2B")</f>
        <v/>
      </c>
      <c r="CJ12" s="70" t="str">
        <f>IF($AD12="○",(VLOOKUP($CE12,参照データ!$D$65:$J$82,4,0)),"")</f>
        <v/>
      </c>
      <c r="CK12" s="71" t="str">
        <f>IF($CJ12="","","3B")</f>
        <v/>
      </c>
      <c r="CL12" s="70" t="str">
        <f>IF($AF12="○",(VLOOKUP($CE12,参照データ!$D$65:$J$82,5,0)),"")</f>
        <v/>
      </c>
      <c r="CM12" s="71" t="str">
        <f t="shared" ref="CM12:CM71" si="6">IF($CL12="","","SS")</f>
        <v/>
      </c>
      <c r="CN12" s="70" t="str">
        <f>IF($AH12="○",(VLOOKUP($CE12,参照データ!$D$65:$J$82,6,0)),"")</f>
        <v/>
      </c>
      <c r="CO12" s="71" t="str">
        <f>IF($CN12="","","D")</f>
        <v/>
      </c>
      <c r="CP12" s="33" t="str">
        <f>IF($AJ12="○",$AK12,"")</f>
        <v/>
      </c>
      <c r="CQ12" s="32" t="str">
        <f>IFERROR(VLOOKUP($CP12,$CT:$CW,4,0),"")</f>
        <v/>
      </c>
      <c r="CR12" s="71" t="str">
        <f>IF($CQ12="","","P")</f>
        <v/>
      </c>
      <c r="CS12" s="690">
        <v>1</v>
      </c>
      <c r="CT12" s="75" t="s">
        <v>85</v>
      </c>
      <c r="CU12" s="76" t="str">
        <f>IFERROR(INDEX($CE:$CE,MATCH($CT12,$CP:$CP,0)),"")</f>
        <v/>
      </c>
      <c r="CV12" s="691" t="e">
        <f>IF($CU12&gt;$CU13,VLOOKUP($CU12,参照データ!$D$65:$J$82,7,0),VLOOKUP($CU13,参照データ!$D$65:$J$82,7,0))</f>
        <v>#N/A</v>
      </c>
      <c r="CW12" s="308" t="str">
        <f>IFERROR(VLOOKUP($CV12,参照データ!$J$65:$M$82,4,0),"")</f>
        <v/>
      </c>
      <c r="CX12" s="70"/>
      <c r="CY12" s="172" t="str">
        <f>IF(CX12="","","AT")</f>
        <v/>
      </c>
      <c r="DA12" s="32"/>
      <c r="DB12" s="161" t="str">
        <f>IF(DA12="","","P")</f>
        <v/>
      </c>
      <c r="DC12" s="794">
        <v>1</v>
      </c>
      <c r="DD12" s="162" t="s">
        <v>71</v>
      </c>
      <c r="DE12" s="163" t="str">
        <f>IF(COUNTIF($CZ$12:$CZ$71,DD12)&gt;=1,VLOOKUP(DD12,$CZ$12:$DA$71,2,0),"")</f>
        <v/>
      </c>
      <c r="DF12" s="795" t="str">
        <f>IF(OR(DE12="",DE13=""),"",IF(DE12&gt;DE13,DE12,DE13))</f>
        <v/>
      </c>
      <c r="DG12" t="str">
        <f>IF($DH12="","",DATEDIF($AZ12,参照データ!$D$19,"Y"))</f>
        <v/>
      </c>
      <c r="DH12" s="253" t="str">
        <f>IFERROR(IF($BA12="男子",VLOOKUP($DO12,参照データ!$D$88:$E$117,2,0),$DO12),0)</f>
        <v/>
      </c>
      <c r="DI12" s="84" t="str">
        <f>IF($Z12="選手権",(VLOOKUP($DH12,参照データ!$D$88:$K$117,3,0)),"")</f>
        <v/>
      </c>
      <c r="DJ12" s="85" t="str">
        <f t="shared" ref="DJ12:DJ43" si="7">IF($DI12="","",IF($F12="","S","MS"))</f>
        <v/>
      </c>
      <c r="DK12" s="84" t="str">
        <f>IF($AB12="選手権",(VLOOKUP($DH12,参照データ!$D$88:$K$117,4,0)),"")</f>
        <v/>
      </c>
      <c r="DL12" s="85" t="str">
        <f t="shared" ref="DL12:DL43" si="8">IF($DK12="","",IF($F12="","2B","M2B"))</f>
        <v/>
      </c>
      <c r="DM12" s="84" t="str">
        <f>IF($AD12="選手権",(VLOOKUP($DH12,参照データ!$D$88:$K$117,5,0)),"")</f>
        <v/>
      </c>
      <c r="DN12" s="85" t="str">
        <f t="shared" ref="DN12:DN43" si="9">IF($DM12="","",IF($F12="","3B","M3B"))</f>
        <v/>
      </c>
      <c r="DO12" s="53" t="str">
        <f>IF(AND($AZ12&gt;=参照データ!$C$90,$AZ12&lt;=参照データ!$C$88),1,IF(AND($AZ12&gt;=参照データ!$C$93,$AZ12&lt;=参照データ!$C$91),2,IF(AND($AZ12&gt;=参照データ!$C$99,$AZ12&lt;=参照データ!$C$97),3,IF(AND($AZ12&gt;=参照データ!$C$105,$AZ12&lt;=参照データ!$C$103),4,IF(AND($AZ12&gt;=参照データ!$C$111,$AZ12&lt;=参照データ!$C$109),5,IF(AND($AZ12&gt;0,$AZ12&lt;=参照データ!$C$112),6,""))))))</f>
        <v/>
      </c>
      <c r="DP12" s="84" t="str">
        <f>IF($AF12="選手権",(VLOOKUP($DO12,参照データ!$D$88:$K$117,6,0)),"")</f>
        <v/>
      </c>
      <c r="DQ12" s="85" t="str">
        <f t="shared" ref="DQ12:DQ71" si="10">IF($DP12="","","SS")</f>
        <v/>
      </c>
      <c r="DR12" s="84" t="str">
        <f>IF($AH12="選手権",(VLOOKUP($DO12,参照データ!$D$88:$K$117,7,0)),"")</f>
        <v/>
      </c>
      <c r="DS12" s="85" t="str">
        <f>IF($DR12="","","D")</f>
        <v/>
      </c>
      <c r="DT12" s="33" t="str">
        <f>IF($AJ12="選手権",$AK12,"")</f>
        <v/>
      </c>
      <c r="DU12" s="32" t="str">
        <f>IFERROR(VLOOKUP($DT12,$DX:$EA,4,0),"")</f>
        <v/>
      </c>
      <c r="DV12" s="85" t="str">
        <f>IF($DU12="","","P")</f>
        <v/>
      </c>
      <c r="DW12" s="732">
        <v>1</v>
      </c>
      <c r="DX12" s="89" t="s">
        <v>71</v>
      </c>
      <c r="DY12" s="90" t="str">
        <f>IFERROR(INDEX($DO:$DO,MATCH($DX12,$DT:$DT,0)),"")</f>
        <v/>
      </c>
      <c r="DZ12" s="734" t="e">
        <f>IF($DY12&gt;$DY13,VLOOKUP($DY12,参照データ!$D$88:$K$117,8,0),VLOOKUP($DY13,参照データ!$D$88:$K$117,8,0))</f>
        <v>#N/A</v>
      </c>
      <c r="EA12" s="312" t="str">
        <f>IFERROR(VLOOKUP($DZ12,参照データ!$K$88:$O$117,5,0),"")</f>
        <v/>
      </c>
      <c r="EC12" s="491" t="str">
        <f>IF($AR12="","",$AR12)</f>
        <v/>
      </c>
      <c r="EH12" s="34">
        <f>(COUNTIF($J12:$O12,"&lt;&gt;"))*参照データ!$E$3</f>
        <v>0</v>
      </c>
      <c r="EI12" s="219" t="str">
        <f>IF(P12="○",参照データ!$E$5,"")</f>
        <v/>
      </c>
      <c r="EJ12" s="219" t="str">
        <f>IF($Y12="○",参照データ!$E$4,"")</f>
        <v/>
      </c>
      <c r="EK12" s="18">
        <f>(SUM(COUNTIF($R12:$V12,{"入門","初級"}))*参照データ!$E$9)+(SUM(COUNTIF($R12:$V12,{"中級","上級"})*参照データ!$E$10))</f>
        <v>0</v>
      </c>
      <c r="EL12" s="18">
        <f>IFERROR(VLOOKUP($W12,参照データ!$D$9:$J$11,7,0),0)</f>
        <v>0</v>
      </c>
      <c r="EM12" s="18">
        <f>((COUNTIF($Z12:$AH12,"○"))*参照データ!$E$12)</f>
        <v>0</v>
      </c>
      <c r="EN12" s="18" t="str">
        <f>(IF($AJ12="○",参照データ!$J$12,""))</f>
        <v/>
      </c>
      <c r="EQ12" s="18">
        <f>((COUNTIF($Z12:$AH12,"選手権"))*参照データ!$E$13)</f>
        <v>0</v>
      </c>
      <c r="ER12" s="18" t="str">
        <f>(IF($AJ12="選手権",参照データ!$J$13,""))</f>
        <v/>
      </c>
      <c r="ES12" s="489">
        <f>(COUNTIF($AQ12:$AR12,"&lt;&gt;"))*参照データ!$H$3</f>
        <v>0</v>
      </c>
      <c r="ET12" s="18"/>
      <c r="EU12" s="18" t="str">
        <f>IF(AV12&lt;&gt;"",参照データ!$H$15,"")</f>
        <v/>
      </c>
      <c r="EV12" s="98" cm="1">
        <f t="array" ref="EV12">SUM(IF(ISERROR(EH12:EU12),0,(EH12:EU12)))</f>
        <v>0</v>
      </c>
      <c r="EW12" s="18"/>
      <c r="EX12" s="18">
        <f t="shared" ref="EX12:EX43" si="11">COUNTA($J12:$O12)</f>
        <v>0</v>
      </c>
      <c r="EY12" s="18">
        <f>COUNTA($P12)</f>
        <v>0</v>
      </c>
      <c r="EZ12" s="18">
        <f>COUNTA($Y12)</f>
        <v>0</v>
      </c>
      <c r="FA12" s="18">
        <f>COUNTA($R12:$W12)</f>
        <v>0</v>
      </c>
      <c r="FB12" s="18">
        <f>COUNTIF($Z12:$AN12,"○")</f>
        <v>0</v>
      </c>
      <c r="FC12" s="18">
        <f>COUNTIF($Z12:$AJ12,"選手権")</f>
        <v>0</v>
      </c>
      <c r="FD12" s="18">
        <f t="shared" ref="FD12:FD71" si="12">COUNTA($AR12)</f>
        <v>0</v>
      </c>
      <c r="FE12" t="str">
        <f>IF($FC12&gt;=2,$DJ12&amp;$DL12&amp;$DN12&amp;$DV12&amp;$DS12&amp;$DQ12,"")</f>
        <v/>
      </c>
    </row>
    <row r="13" spans="1:161" ht="18.75" customHeight="1" x14ac:dyDescent="0.2">
      <c r="A13">
        <v>2</v>
      </c>
      <c r="B13" s="14" t="str">
        <f>IF(D13="","",IF(D13="重複","",COUNTIF(B$12:$B12,"&gt;0")+1))</f>
        <v/>
      </c>
      <c r="C13" s="464"/>
      <c r="D13" s="177"/>
      <c r="E13" s="177"/>
      <c r="F13" s="31"/>
      <c r="G13" s="41"/>
      <c r="H13" s="351">
        <f>EV13</f>
        <v>0</v>
      </c>
      <c r="I13" s="193" t="str">
        <f>IF($AZ13=0,"",DATEDIF($AZ13,参照データ!$D$16,"Y"))</f>
        <v/>
      </c>
      <c r="J13" s="36"/>
      <c r="K13" s="36"/>
      <c r="L13" s="36"/>
      <c r="M13" s="36"/>
      <c r="N13" s="36"/>
      <c r="O13" s="42"/>
      <c r="P13" s="345"/>
      <c r="Q13" s="345"/>
      <c r="R13" s="43"/>
      <c r="S13" s="244"/>
      <c r="T13" s="244"/>
      <c r="U13" s="244"/>
      <c r="V13" s="245"/>
      <c r="W13" s="247"/>
      <c r="X13" s="250"/>
      <c r="Y13" s="345"/>
      <c r="Z13" s="388"/>
      <c r="AA13" s="346" t="str">
        <f>IF($Z13="○",VLOOKUP($CE13,参照データ!$D$65:$M$82,9,0),IF($Z13="選手権",VLOOKUP($DH13,参照データ!$D$88:$O$117,10,0),""))</f>
        <v/>
      </c>
      <c r="AB13" s="388"/>
      <c r="AC13" s="346" t="str">
        <f>IF($AB13="○",VLOOKUP($CE13,参照データ!$D$65:$M$82,10,0),IF($AB13="選手権",VLOOKUP($DH13,参照データ!$D$88:$O$117,11,0),""))</f>
        <v/>
      </c>
      <c r="AD13" s="388"/>
      <c r="AE13" s="346" t="str">
        <f>IF($AD13="○",VLOOKUP($CE13,参照データ!$D$65:$M$82,10,0),IF($AD13="選手権",VLOOKUP($DH13,参照データ!$D$88:$O$117,11,0),""))</f>
        <v/>
      </c>
      <c r="AF13" s="388"/>
      <c r="AG13" s="346" t="str">
        <f>IF($AF13="○",VLOOKUP($CE13,参照データ!$D$65:$M$82,10,0),IF($AF13="選手権",VLOOKUP($DO13,参照データ!$D$88:$O$117,12,0),""))</f>
        <v/>
      </c>
      <c r="AH13" s="388"/>
      <c r="AI13" s="346" t="str">
        <f>IF($AH13="○",VLOOKUP($CE13,参照データ!$D$65:$M$82,10,0),IF($AH13="選手権",VLOOKUP($DO13,参照データ!$D$88:$O$117,12,0),""))</f>
        <v/>
      </c>
      <c r="AJ13" s="388"/>
      <c r="AK13" s="511"/>
      <c r="AL13" s="346" t="str">
        <f t="shared" si="3"/>
        <v/>
      </c>
      <c r="AM13" s="392"/>
      <c r="AN13" s="391"/>
      <c r="AO13" s="391"/>
      <c r="AP13" s="447"/>
      <c r="AQ13" s="321"/>
      <c r="AR13" s="481"/>
      <c r="AS13" s="393"/>
      <c r="AT13" s="483"/>
      <c r="AU13" s="393"/>
      <c r="AV13" s="529"/>
      <c r="AW13" s="483"/>
      <c r="AY13" s="1"/>
      <c r="AZ13">
        <f>IF($D13="重複",VALUE($G12),VALUE($G13))</f>
        <v>0</v>
      </c>
      <c r="BA13" t="str">
        <f>IF($D13="","",IF($D13="重複",$F12,$F13))</f>
        <v/>
      </c>
      <c r="BB13" s="132"/>
      <c r="BD13" s="513" t="str">
        <f t="shared" si="4"/>
        <v/>
      </c>
      <c r="BE13" s="53" t="str">
        <f>IF($AZ13=0,"",IF(AND($I13&gt;=6,$I13&lt;=19),VLOOKUP($I13,参照データ!$B$24:$C$37,2,0),IF($I13&lt;6,6,19)))</f>
        <v/>
      </c>
      <c r="BF13" s="155" t="str">
        <f>IF($J13="○",VLOOKUP($BE13,参照データ!$C$24:$I$37,2,0),"")</f>
        <v/>
      </c>
      <c r="BG13" s="146" t="str">
        <f>IF($K13="○",VLOOKUP($BE13,参照データ!$C$24:$I$37,3,0),"")</f>
        <v/>
      </c>
      <c r="BH13" s="146" t="str">
        <f>IF($L13="○",VLOOKUP($BE13,参照データ!$C$24:$I$37,4,0),"")</f>
        <v/>
      </c>
      <c r="BI13" s="146" t="str">
        <f>IF($M13="○",VLOOKUP($BE13,参照データ!$C$24:$I$37,5,0),"")</f>
        <v/>
      </c>
      <c r="BJ13" s="146" t="str">
        <f>IF($N13="20日",VLOOKUP($BE13,参照データ!$C$24:$I$37,6,0),"")</f>
        <v/>
      </c>
      <c r="BK13" s="156" t="str">
        <f>IF($O13="20日",VLOOKUP($BE13,参照データ!$C$24:$I$37,7,0),"")</f>
        <v/>
      </c>
      <c r="BL13" s="155" t="str">
        <f>IF($J13="21日",VLOOKUP($BE13,参照データ!$C$24:$I$37,2,0),"")</f>
        <v/>
      </c>
      <c r="BM13" s="146" t="str">
        <f>IF($K13="21日",VLOOKUP($BE13,参照データ!$C$24:$I$37,3,0),"")</f>
        <v/>
      </c>
      <c r="BN13" s="146" t="str">
        <f>IF($L13="21日",VLOOKUP($BE13,参照データ!$C$24:$I$37,4,0),"")</f>
        <v/>
      </c>
      <c r="BO13" s="146" t="str">
        <f>IF($M13="21日",VLOOKUP($BE13,参照データ!$C$24:$I$37,5,0),"")</f>
        <v/>
      </c>
      <c r="BP13" s="146" t="str">
        <f>IF($N13="21日",VLOOKUP($BE13,参照データ!$C$24:$I$37,6,0),"")</f>
        <v/>
      </c>
      <c r="BQ13" s="156" t="str">
        <f>IF($O13="21日",VLOOKUP($BE13,参照データ!$C$24:$I$37,7,0),"")</f>
        <v/>
      </c>
      <c r="BR13" s="223" t="str">
        <f>IF($Y13="○",1,"")</f>
        <v/>
      </c>
      <c r="BS13" s="154" t="str">
        <f>IF($R13="入門",VLOOKUP($BE13,参照データ!$C$43:$U$56,2,0),IF($R13="初級",VLOOKUP($BE13,参照データ!$C$43:$U$56,3,0),IF($R13="中級",VLOOKUP($BE13,参照データ!$C$43:$U$56,4,0),IF($R13="上級",VLOOKUP($BE13,参照データ!$C$43:$U$56,5,0),""))))</f>
        <v/>
      </c>
      <c r="BT13" s="154" t="str">
        <f>IF($S13="初級",VLOOKUP($BE13,参照データ!$C$43:$U$56,6,0),IF($S13="中級",VLOOKUP($BE13,参照データ!$C$43:$U$56,7,0),IF($S13="上級",VLOOKUP($BE13,参照データ!$C$43:$U$56,8,0),"")))</f>
        <v/>
      </c>
      <c r="BU13" s="154" t="str">
        <f>IF($T13="初級",VLOOKUP($BE13,参照データ!$C$43:$U$56,9,0),IF($T13="上級",VLOOKUP($BE13,参照データ!$C$43:$U$56,10,0),""))</f>
        <v/>
      </c>
      <c r="BV13" s="154" t="str">
        <f>IF($U13="初級",VLOOKUP($BE13,参照データ!$C$43:$U$56,11,0),IF($U13="中級",VLOOKUP($BE13,参照データ!$C$43:$U$56,12,0),IF($U13="上級",VLOOKUP($BE13,参照データ!$C$43:$U$56,13,0),"")))</f>
        <v/>
      </c>
      <c r="BW13" s="154" t="str">
        <f>IF($V13="初級",VLOOKUP($BE13,参照データ!$C$43:$U$56,14,0),IF($V13="中級",VLOOKUP($BE13,参照データ!$C$43:$U$56,15,0),IF($V13="上級",VLOOKUP($BE13,参照データ!$C$43:$U$56,16,0),"")))</f>
        <v/>
      </c>
      <c r="BX13" s="47" t="str">
        <f t="shared" si="5"/>
        <v/>
      </c>
      <c r="BY13" s="47" t="str">
        <f>IF($W13="初級",VLOOKUP($BE13,参照データ!$C$43:$U$56,17,0),IF($W13="中級",VLOOKUP($BE13,参照データ!$C$43:$U$56,18,0),IF($W13="上級",VLOOKUP($BE13,参照データ!$C$43:$U$56,19,0),"")))</f>
        <v/>
      </c>
      <c r="BZ13" s="687"/>
      <c r="CA13" s="65" t="s">
        <v>225</v>
      </c>
      <c r="CB13" s="135" t="str">
        <f t="shared" ref="CB13:CB71" si="13">IF(COUNTIF($BX$12:$BY$71,$CA13)&gt;=1,VLOOKUP($CA13,$BX$12:$BY$71,2,0),"")</f>
        <v/>
      </c>
      <c r="CC13" s="689"/>
      <c r="CE13" s="53" t="str">
        <f>IF(AND($AZ13&gt;=参照データ!$C$67,$AZ13&lt;=参照データ!$C$65),1,IF(AND($AZ13&gt;=参照データ!$C$70,$AZ13&lt;=参照データ!$C$68),2,IF(AND($AZ13&gt;=参照データ!$C$73,$AZ13&lt;=参照データ!$C$71),3,IF(AND($AZ13&gt;=参照データ!$C$76,$AZ13&lt;=参照データ!$C$74),4,IF(AND($AZ13&gt;=参照データ!$C$79,$AZ13&lt;=参照データ!$C$77),5,IF(AND($AZ13&gt;0,$AZ13&lt;=参照データ!$C$80),6,""))))))</f>
        <v/>
      </c>
      <c r="CF13" s="141" t="str">
        <f>IF($Z13="○",(VLOOKUP($CE13,参照データ!$D$65:$J$82,2,0)),"")</f>
        <v/>
      </c>
      <c r="CG13" s="71" t="str">
        <f t="shared" ref="CG13:CG71" si="14">IF($CF13="","","S")</f>
        <v/>
      </c>
      <c r="CH13" s="70" t="str">
        <f>IF($AB13="○",(VLOOKUP($CE13,参照データ!$D$65:$J$82,3,0)),"")</f>
        <v/>
      </c>
      <c r="CI13" s="71" t="str">
        <f t="shared" ref="CI13:CI71" si="15">IF($CH13="","","2B")</f>
        <v/>
      </c>
      <c r="CJ13" s="70" t="str">
        <f>IF($AD13="○",(VLOOKUP($CE13,参照データ!$D$65:$J$82,4,0)),"")</f>
        <v/>
      </c>
      <c r="CK13" s="71" t="str">
        <f t="shared" ref="CK13:CK71" si="16">IF($CJ13="","","3B")</f>
        <v/>
      </c>
      <c r="CL13" s="70" t="str">
        <f>IF($AF13="○",(VLOOKUP($CE13,参照データ!$D$65:$J$82,5,0)),"")</f>
        <v/>
      </c>
      <c r="CM13" s="71" t="str">
        <f t="shared" si="6"/>
        <v/>
      </c>
      <c r="CN13" s="70" t="str">
        <f>IF($AH13="○",(VLOOKUP($CE13,参照データ!$D$65:$J$82,6,0)),"")</f>
        <v/>
      </c>
      <c r="CO13" s="71" t="str">
        <f t="shared" ref="CO13:CO71" si="17">IF($CN13="","","D")</f>
        <v/>
      </c>
      <c r="CP13" s="33" t="str">
        <f t="shared" ref="CP13:CP71" si="18">IF($AJ13="○",$AK13,"")</f>
        <v/>
      </c>
      <c r="CQ13" s="32" t="str">
        <f t="shared" ref="CQ13:CQ71" si="19">IFERROR(VLOOKUP($CP13,$CT:$CW,4,0),"")</f>
        <v/>
      </c>
      <c r="CR13" s="71" t="str">
        <f t="shared" ref="CR13:CR71" si="20">IF($CQ13="","","P")</f>
        <v/>
      </c>
      <c r="CS13" s="682"/>
      <c r="CT13" s="77" t="s">
        <v>86</v>
      </c>
      <c r="CU13" s="78" t="str">
        <f t="shared" ref="CU13:CU71" si="21">IFERROR(INDEX($CE:$CE,MATCH($CT13,$CP:$CP,0)),"")</f>
        <v/>
      </c>
      <c r="CV13" s="684"/>
      <c r="CW13" s="308" t="str">
        <f>$CW12</f>
        <v/>
      </c>
      <c r="CX13" s="70"/>
      <c r="CY13" s="172" t="str">
        <f t="shared" ref="CY13:CY71" si="22">IF(CX13="","","AT")</f>
        <v/>
      </c>
      <c r="DA13" s="32"/>
      <c r="DB13" s="161" t="str">
        <f t="shared" ref="DB13:DB71" si="23">IF(DA13="","","P")</f>
        <v/>
      </c>
      <c r="DC13" s="744"/>
      <c r="DD13" s="164" t="s">
        <v>73</v>
      </c>
      <c r="DE13" s="165" t="str">
        <f>IF(COUNTIF($CZ$12:$CZ$71,DD13)&gt;=1,VLOOKUP(DD13,$CZ$12:$DA$71,2,0),"")</f>
        <v/>
      </c>
      <c r="DF13" s="742"/>
      <c r="DG13" t="str">
        <f>IF($DH13="","",DATEDIF($AZ13,参照データ!$D$19,"Y"))</f>
        <v/>
      </c>
      <c r="DH13" s="253" t="str">
        <f>IFERROR(IF($BA13="男子",VLOOKUP($DO13,参照データ!$D$88:$E$117,2,0),$DO13),0)</f>
        <v/>
      </c>
      <c r="DI13" s="84" t="str">
        <f>IF($Z13="選手権",(VLOOKUP($DH13,参照データ!$D$88:$K$117,3,0)),"")</f>
        <v/>
      </c>
      <c r="DJ13" s="85" t="str">
        <f t="shared" si="7"/>
        <v/>
      </c>
      <c r="DK13" s="84" t="str">
        <f>IF($AB13="選手権",(VLOOKUP($DH13,参照データ!$D$88:$K$117,4,0)),"")</f>
        <v/>
      </c>
      <c r="DL13" s="85" t="str">
        <f t="shared" si="8"/>
        <v/>
      </c>
      <c r="DM13" s="84" t="str">
        <f>IF($AD13="選手権",(VLOOKUP($DH13,参照データ!$D$88:$K$117,5,0)),"")</f>
        <v/>
      </c>
      <c r="DN13" s="85" t="str">
        <f t="shared" si="9"/>
        <v/>
      </c>
      <c r="DO13" s="53" t="str">
        <f>IF(AND($AZ13&gt;=参照データ!$C$90,$AZ13&lt;=参照データ!$C$88),1,IF(AND($AZ13&gt;=参照データ!$C$93,$AZ13&lt;=参照データ!$C$91),2,IF(AND($AZ13&gt;=参照データ!$C$99,$AZ13&lt;=参照データ!$C$97),3,IF(AND($AZ13&gt;=参照データ!$C$105,$AZ13&lt;=参照データ!$C$103),4,IF(AND($AZ13&gt;=参照データ!$C$111,$AZ13&lt;=参照データ!$C$109),5,IF(AND($AZ13&gt;0,$AZ13&lt;=参照データ!$C$112),6,""))))))</f>
        <v/>
      </c>
      <c r="DP13" s="84" t="str">
        <f>IF($AF13="選手権",(VLOOKUP($DO13,参照データ!$D$88:$K$117,6,0)),"")</f>
        <v/>
      </c>
      <c r="DQ13" s="85" t="str">
        <f t="shared" si="10"/>
        <v/>
      </c>
      <c r="DR13" s="84" t="str">
        <f>IF($AH13="選手権",(VLOOKUP($DO13,参照データ!$D$88:$K$117,7,0)),"")</f>
        <v/>
      </c>
      <c r="DS13" s="85" t="str">
        <f t="shared" ref="DS13:DS71" si="24">IF($DR13="","","D")</f>
        <v/>
      </c>
      <c r="DT13" s="33" t="str">
        <f t="shared" ref="DT13:DT71" si="25">IF($AJ13="選手権",$AK13,"")</f>
        <v/>
      </c>
      <c r="DU13" s="32" t="str">
        <f t="shared" ref="DU13:DU71" si="26">IFERROR(VLOOKUP($DT13,$DX:$EA,4,0),"")</f>
        <v/>
      </c>
      <c r="DV13" s="85" t="str">
        <f t="shared" ref="DV13:DV71" si="27">IF($DU13="","","P")</f>
        <v/>
      </c>
      <c r="DW13" s="733"/>
      <c r="DX13" s="91" t="s">
        <v>73</v>
      </c>
      <c r="DY13" s="92" t="str">
        <f>IFERROR(INDEX($DO:$DO,MATCH($DX13,$DT:$DT,0)),"")</f>
        <v/>
      </c>
      <c r="DZ13" s="735"/>
      <c r="EA13" s="312" t="str">
        <f>$EA12</f>
        <v/>
      </c>
      <c r="EC13" s="491" t="str">
        <f t="shared" ref="EC13:EC71" si="28">IF($AR13="","",$AR13)</f>
        <v/>
      </c>
      <c r="EH13" s="35">
        <f>(COUNTIF($J13:$O13,"&lt;&gt;"))*参照データ!$E$3</f>
        <v>0</v>
      </c>
      <c r="EI13" s="219" t="str">
        <f>IF(P13="○",参照データ!$E$5,"")</f>
        <v/>
      </c>
      <c r="EJ13" s="219" t="str">
        <f>IF($Y13="○",参照データ!$E$4,"")</f>
        <v/>
      </c>
      <c r="EK13" s="18">
        <f>(SUM(COUNTIF($R13:$V13,{"入門","初級"}))*参照データ!$E$9)+(SUM(COUNTIF($R13:$V13,{"中級","上級"})*参照データ!$E$10))</f>
        <v>0</v>
      </c>
      <c r="EL13" s="18">
        <f>IFERROR(VLOOKUP($W13,参照データ!$D$9:$J$11,7,0),0)</f>
        <v>0</v>
      </c>
      <c r="EM13" s="18">
        <f>((COUNTIF($Z13:$AH13,"○"))*参照データ!$E$12)</f>
        <v>0</v>
      </c>
      <c r="EN13" s="18" t="str">
        <f>(IF($AJ13="○",参照データ!$J$12,""))</f>
        <v/>
      </c>
      <c r="EQ13" s="18">
        <f>((COUNTIF($Z13:$AH13,"選手権"))*参照データ!$E$13)</f>
        <v>0</v>
      </c>
      <c r="ER13" s="18" t="str">
        <f>(IF($AJ13="選手権",参照データ!$J$13,""))</f>
        <v/>
      </c>
      <c r="ES13" s="18">
        <f>(COUNTIF($AQ13:$AR13,"&lt;&gt;"))*参照データ!$H$3</f>
        <v>0</v>
      </c>
      <c r="ET13" s="18"/>
      <c r="EU13" s="18" t="str">
        <f>IF(AV13&lt;&gt;"",参照データ!$H$15,"")</f>
        <v/>
      </c>
      <c r="EV13" s="98" cm="1">
        <f t="array" ref="EV13">SUM(IF(ISERROR(EH13:EU13),0,(EH13:EU13)))</f>
        <v>0</v>
      </c>
      <c r="EW13" s="18"/>
      <c r="EX13" s="18">
        <f t="shared" si="11"/>
        <v>0</v>
      </c>
      <c r="EY13" s="18">
        <f t="shared" ref="EY13:EY71" si="29">COUNTA($P13)</f>
        <v>0</v>
      </c>
      <c r="EZ13" s="18">
        <f>COUNTA($Y13)</f>
        <v>0</v>
      </c>
      <c r="FA13" s="18">
        <f t="shared" ref="FA13:FA71" si="30">COUNTA($R13:$W13)</f>
        <v>0</v>
      </c>
      <c r="FB13" s="18">
        <f t="shared" ref="FB13:FB71" si="31">COUNTIF($Z13:$AN13,"○")</f>
        <v>0</v>
      </c>
      <c r="FC13" s="18">
        <f t="shared" ref="FC13:FC71" si="32">COUNTIF($Z13:$AJ13,"選手権")</f>
        <v>0</v>
      </c>
      <c r="FD13" s="18">
        <f t="shared" si="12"/>
        <v>0</v>
      </c>
      <c r="FE13" t="str">
        <f t="shared" ref="FE13:FE71" si="33">IF($FC13&gt;=2,$DJ13&amp;$DL13&amp;$DN13&amp;$DV13&amp;$DS13&amp;$DQ13,"")</f>
        <v/>
      </c>
    </row>
    <row r="14" spans="1:161" ht="18.75" customHeight="1" x14ac:dyDescent="0.2">
      <c r="A14">
        <v>3</v>
      </c>
      <c r="B14" s="14" t="str">
        <f>IF(D14="","",IF(D14="重複","",COUNTIF(B$12:$B13,"&gt;0")+1))</f>
        <v/>
      </c>
      <c r="C14" s="464"/>
      <c r="D14" s="177"/>
      <c r="E14" s="177"/>
      <c r="F14" s="31"/>
      <c r="G14" s="41"/>
      <c r="H14" s="351">
        <f t="shared" ref="H14:H71" si="34">EV14</f>
        <v>0</v>
      </c>
      <c r="I14" s="193" t="str">
        <f>IF($AZ14=0,"",DATEDIF($AZ14,参照データ!$D$16,"Y"))</f>
        <v/>
      </c>
      <c r="J14" s="36"/>
      <c r="K14" s="36"/>
      <c r="L14" s="36"/>
      <c r="M14" s="36"/>
      <c r="N14" s="36"/>
      <c r="O14" s="42"/>
      <c r="P14" s="345"/>
      <c r="Q14" s="345"/>
      <c r="R14" s="43"/>
      <c r="S14" s="244"/>
      <c r="T14" s="244"/>
      <c r="U14" s="244"/>
      <c r="V14" s="245"/>
      <c r="W14" s="247"/>
      <c r="X14" s="250"/>
      <c r="Y14" s="345"/>
      <c r="Z14" s="388"/>
      <c r="AA14" s="346" t="str">
        <f>IF($Z14="○",VLOOKUP($CE14,参照データ!$D$65:$M$82,9,0),IF($Z14="選手権",VLOOKUP($DH14,参照データ!$D$88:$O$117,10,0),""))</f>
        <v/>
      </c>
      <c r="AB14" s="388"/>
      <c r="AC14" s="346" t="str">
        <f>IF($AB14="○",VLOOKUP($CE14,参照データ!$D$65:$M$82,10,0),IF($AB14="選手権",VLOOKUP($DH14,参照データ!$D$88:$O$117,11,0),""))</f>
        <v/>
      </c>
      <c r="AD14" s="388"/>
      <c r="AE14" s="346" t="str">
        <f>IF($AD14="○",VLOOKUP($CE14,参照データ!$D$65:$M$82,10,0),IF($AD14="選手権",VLOOKUP($DH14,参照データ!$D$88:$O$117,11,0),""))</f>
        <v/>
      </c>
      <c r="AF14" s="388"/>
      <c r="AG14" s="346" t="str">
        <f>IF($AF14="○",VLOOKUP($CE14,参照データ!$D$65:$M$82,10,0),IF($AF14="選手権",VLOOKUP($DO14,参照データ!$D$88:$O$117,12,0),""))</f>
        <v/>
      </c>
      <c r="AH14" s="388"/>
      <c r="AI14" s="346" t="str">
        <f>IF($AH14="○",VLOOKUP($CE14,参照データ!$D$65:$M$82,10,0),IF($AH14="選手権",VLOOKUP($DO14,参照データ!$D$88:$O$117,12,0),""))</f>
        <v/>
      </c>
      <c r="AJ14" s="388"/>
      <c r="AK14" s="511"/>
      <c r="AL14" s="346" t="str">
        <f t="shared" si="3"/>
        <v/>
      </c>
      <c r="AM14" s="392"/>
      <c r="AN14" s="391"/>
      <c r="AO14" s="391"/>
      <c r="AP14" s="447"/>
      <c r="AQ14" s="321"/>
      <c r="AR14" s="481"/>
      <c r="AS14" s="393"/>
      <c r="AT14" s="483"/>
      <c r="AU14" s="393"/>
      <c r="AV14" s="529"/>
      <c r="AW14" s="483"/>
      <c r="AY14" s="1" t="s">
        <v>149</v>
      </c>
      <c r="AZ14">
        <f>IF($D14="重複",VALUE($G13),VALUE($G14))</f>
        <v>0</v>
      </c>
      <c r="BA14" t="str">
        <f t="shared" ref="BA14:BA71" si="35">IF($D14="","",IF($D14="重複",$F13,$F14))</f>
        <v/>
      </c>
      <c r="BB14" s="132"/>
      <c r="BD14" s="513" t="str">
        <f t="shared" si="4"/>
        <v/>
      </c>
      <c r="BE14" s="53" t="str">
        <f>IF($AZ14=0,"",IF(AND($I14&gt;=6,$I14&lt;=19),VLOOKUP($I14,参照データ!$B$24:$C$37,2,0),IF($I14&lt;6,6,19)))</f>
        <v/>
      </c>
      <c r="BF14" s="155" t="str">
        <f>IF($J14="○",VLOOKUP($BE14,参照データ!$C$24:$I$37,2,0),"")</f>
        <v/>
      </c>
      <c r="BG14" s="146" t="str">
        <f>IF($K14="○",VLOOKUP($BE14,参照データ!$C$24:$I$37,3,0),"")</f>
        <v/>
      </c>
      <c r="BH14" s="146" t="str">
        <f>IF($L14="○",VLOOKUP($BE14,参照データ!$C$24:$I$37,4,0),"")</f>
        <v/>
      </c>
      <c r="BI14" s="146" t="str">
        <f>IF($M14="○",VLOOKUP($BE14,参照データ!$C$24:$I$37,5,0),"")</f>
        <v/>
      </c>
      <c r="BJ14" s="146" t="str">
        <f>IF($N14="20日",VLOOKUP($BE14,参照データ!$C$24:$I$37,6,0),"")</f>
        <v/>
      </c>
      <c r="BK14" s="156" t="str">
        <f>IF($O14="20日",VLOOKUP($BE14,参照データ!$C$24:$I$37,7,0),"")</f>
        <v/>
      </c>
      <c r="BL14" s="155" t="str">
        <f>IF($J14="21日",VLOOKUP($BE14,参照データ!$C$24:$I$37,2,0),"")</f>
        <v/>
      </c>
      <c r="BM14" s="146" t="str">
        <f>IF($K14="21日",VLOOKUP($BE14,参照データ!$C$24:$I$37,3,0),"")</f>
        <v/>
      </c>
      <c r="BN14" s="146" t="str">
        <f>IF($L14="21日",VLOOKUP($BE14,参照データ!$C$24:$I$37,4,0),"")</f>
        <v/>
      </c>
      <c r="BO14" s="146" t="str">
        <f>IF($M14="21日",VLOOKUP($BE14,参照データ!$C$24:$I$37,5,0),"")</f>
        <v/>
      </c>
      <c r="BP14" s="146" t="str">
        <f>IF($N14="21日",VLOOKUP($BE14,参照データ!$C$24:$I$37,6,0),"")</f>
        <v/>
      </c>
      <c r="BQ14" s="156" t="str">
        <f>IF($O14="21日",VLOOKUP($BE14,参照データ!$C$24:$I$37,7,0),"")</f>
        <v/>
      </c>
      <c r="BR14" s="223" t="str">
        <f>IF($Y14="○",1,"")</f>
        <v/>
      </c>
      <c r="BS14" s="154" t="str">
        <f>IF($R14="入門",VLOOKUP($BE14,参照データ!$C$43:$U$56,2,0),IF($R14="初級",VLOOKUP($BE14,参照データ!$C$43:$U$56,3,0),IF($R14="中級",VLOOKUP($BE14,参照データ!$C$43:$U$56,4,0),IF($R14="上級",VLOOKUP($BE14,参照データ!$C$43:$U$56,5,0),""))))</f>
        <v/>
      </c>
      <c r="BT14" s="154" t="str">
        <f>IF($S14="初級",VLOOKUP($BE14,参照データ!$C$43:$U$56,6,0),IF($S14="中級",VLOOKUP($BE14,参照データ!$C$43:$U$56,7,0),IF($S14="上級",VLOOKUP($BE14,参照データ!$C$43:$U$56,8,0),"")))</f>
        <v/>
      </c>
      <c r="BU14" s="154" t="str">
        <f>IF($T14="初級",VLOOKUP($BE14,参照データ!$C$43:$U$56,9,0),IF($T14="上級",VLOOKUP($BE14,参照データ!$C$43:$U$56,10,0),""))</f>
        <v/>
      </c>
      <c r="BV14" s="154" t="str">
        <f>IF($U14="初級",VLOOKUP($BE14,参照データ!$C$43:$U$56,11,0),IF($U14="中級",VLOOKUP($BE14,参照データ!$C$43:$U$56,12,0),IF($U14="上級",VLOOKUP($BE14,参照データ!$C$43:$U$56,13,0),"")))</f>
        <v/>
      </c>
      <c r="BW14" s="154" t="str">
        <f>IF($V14="初級",VLOOKUP($BE14,参照データ!$C$43:$U$56,14,0),IF($V14="中級",VLOOKUP($BE14,参照データ!$C$43:$U$56,15,0),IF($V14="上級",VLOOKUP($BE14,参照データ!$C$43:$U$56,16,0),"")))</f>
        <v/>
      </c>
      <c r="BX14" s="47" t="str">
        <f t="shared" si="5"/>
        <v/>
      </c>
      <c r="BY14" s="47" t="str">
        <f>IF($W14="初級",VLOOKUP($BE14,参照データ!$C$43:$U$56,17,0),IF($W14="中級",VLOOKUP($BE14,参照データ!$C$43:$U$56,18,0),IF($W14="上級",VLOOKUP($BE14,参照データ!$C$43:$U$56,19,0),"")))</f>
        <v/>
      </c>
      <c r="BZ14" s="686">
        <v>2</v>
      </c>
      <c r="CA14" s="66" t="s">
        <v>226</v>
      </c>
      <c r="CB14" s="136" t="str">
        <f t="shared" si="13"/>
        <v/>
      </c>
      <c r="CC14" s="688" t="str">
        <f t="shared" ref="CC14" si="36">IF(OR($CB14="",$CB15=""),"",IF($CB14&gt;$CB15,$CB14,$CB15))</f>
        <v/>
      </c>
      <c r="CE14" s="53" t="str">
        <f>IF(AND($AZ14&gt;=参照データ!$C$67,$AZ14&lt;=参照データ!$C$65),1,IF(AND($AZ14&gt;=参照データ!$C$70,$AZ14&lt;=参照データ!$C$68),2,IF(AND($AZ14&gt;=参照データ!$C$73,$AZ14&lt;=参照データ!$C$71),3,IF(AND($AZ14&gt;=参照データ!$C$76,$AZ14&lt;=参照データ!$C$74),4,IF(AND($AZ14&gt;=参照データ!$C$79,$AZ14&lt;=参照データ!$C$77),5,IF(AND($AZ14&gt;0,$AZ14&lt;=参照データ!$C$80),6,""))))))</f>
        <v/>
      </c>
      <c r="CF14" s="141" t="str">
        <f>IF($Z14="○",(VLOOKUP($CE14,参照データ!$D$65:$J$82,2,0)),"")</f>
        <v/>
      </c>
      <c r="CG14" s="71" t="str">
        <f t="shared" si="14"/>
        <v/>
      </c>
      <c r="CH14" s="70" t="str">
        <f>IF($AB14="○",(VLOOKUP($CE14,参照データ!$D$65:$J$82,3,0)),"")</f>
        <v/>
      </c>
      <c r="CI14" s="71" t="str">
        <f t="shared" si="15"/>
        <v/>
      </c>
      <c r="CJ14" s="70" t="str">
        <f>IF($AD14="○",(VLOOKUP($CE14,参照データ!$D$65:$J$82,4,0)),"")</f>
        <v/>
      </c>
      <c r="CK14" s="71" t="str">
        <f t="shared" si="16"/>
        <v/>
      </c>
      <c r="CL14" s="70" t="str">
        <f>IF($AF14="○",(VLOOKUP($CE14,参照データ!$D$65:$J$82,5,0)),"")</f>
        <v/>
      </c>
      <c r="CM14" s="71" t="str">
        <f t="shared" si="6"/>
        <v/>
      </c>
      <c r="CN14" s="70" t="str">
        <f>IF($AH14="○",(VLOOKUP($CE14,参照データ!$D$65:$J$82,6,0)),"")</f>
        <v/>
      </c>
      <c r="CO14" s="71" t="str">
        <f t="shared" si="17"/>
        <v/>
      </c>
      <c r="CP14" s="33" t="str">
        <f t="shared" si="18"/>
        <v/>
      </c>
      <c r="CQ14" s="32" t="str">
        <f t="shared" si="19"/>
        <v/>
      </c>
      <c r="CR14" s="71" t="str">
        <f t="shared" si="20"/>
        <v/>
      </c>
      <c r="CS14" s="681">
        <v>2</v>
      </c>
      <c r="CT14" s="79" t="s">
        <v>87</v>
      </c>
      <c r="CU14" s="80" t="str">
        <f t="shared" si="21"/>
        <v/>
      </c>
      <c r="CV14" s="683" t="e">
        <f>IF($CU14&gt;$CU15,VLOOKUP($CU14,参照データ!$D$65:$J$82,7,0),VLOOKUP($CU15,参照データ!$D$65:$J$82,7,0))</f>
        <v>#N/A</v>
      </c>
      <c r="CW14" s="308" t="str">
        <f>IFERROR(VLOOKUP($CV14,参照データ!$J$65:$M$82,4,0),"")</f>
        <v/>
      </c>
      <c r="CX14" s="70"/>
      <c r="CY14" s="172" t="str">
        <f t="shared" si="22"/>
        <v/>
      </c>
      <c r="DA14" s="32"/>
      <c r="DB14" s="161" t="str">
        <f t="shared" si="23"/>
        <v/>
      </c>
      <c r="DC14" s="743">
        <v>2</v>
      </c>
      <c r="DD14" s="166" t="s">
        <v>87</v>
      </c>
      <c r="DE14" s="167" t="str">
        <f>IF(COUNTIF($CZ$12:$CZ$71,DD14)&gt;=1,VLOOKUP(DD14,$CZ$12:$DA$71,2,0),"")</f>
        <v/>
      </c>
      <c r="DF14" s="741" t="str">
        <f>IF(OR(DE14="",DE15=""),"",IF(DE14&gt;DE15,DE14,DE15))</f>
        <v/>
      </c>
      <c r="DG14" t="str">
        <f>IF($DH14="","",DATEDIF($AZ14,参照データ!$D$19,"Y"))</f>
        <v/>
      </c>
      <c r="DH14" s="253" t="str">
        <f>IFERROR(IF($BA14="男子",VLOOKUP($DO14,参照データ!$D$88:$E$117,2,0),$DO14),0)</f>
        <v/>
      </c>
      <c r="DI14" s="84" t="str">
        <f>IF($Z14="選手権",(VLOOKUP($DH14,参照データ!$D$88:$K$117,3,0)),"")</f>
        <v/>
      </c>
      <c r="DJ14" s="85" t="str">
        <f t="shared" si="7"/>
        <v/>
      </c>
      <c r="DK14" s="84" t="str">
        <f>IF($AB14="選手権",(VLOOKUP($DH14,参照データ!$D$88:$K$117,4,0)),"")</f>
        <v/>
      </c>
      <c r="DL14" s="85" t="str">
        <f t="shared" si="8"/>
        <v/>
      </c>
      <c r="DM14" s="84" t="str">
        <f>IF($AD14="選手権",(VLOOKUP($DH14,参照データ!$D$88:$K$117,5,0)),"")</f>
        <v/>
      </c>
      <c r="DN14" s="85" t="str">
        <f t="shared" si="9"/>
        <v/>
      </c>
      <c r="DO14" s="53" t="str">
        <f>IF(AND($AZ14&gt;=参照データ!$C$90,$AZ14&lt;=参照データ!$C$88),1,IF(AND($AZ14&gt;=参照データ!$C$93,$AZ14&lt;=参照データ!$C$91),2,IF(AND($AZ14&gt;=参照データ!$C$99,$AZ14&lt;=参照データ!$C$97),3,IF(AND($AZ14&gt;=参照データ!$C$105,$AZ14&lt;=参照データ!$C$103),4,IF(AND($AZ14&gt;=参照データ!$C$111,$AZ14&lt;=参照データ!$C$109),5,IF(AND($AZ14&gt;0,$AZ14&lt;=参照データ!$C$112),6,""))))))</f>
        <v/>
      </c>
      <c r="DP14" s="84" t="str">
        <f>IF($AF14="選手権",(VLOOKUP($DO14,参照データ!$D$88:$K$117,6,0)),"")</f>
        <v/>
      </c>
      <c r="DQ14" s="85" t="str">
        <f t="shared" si="10"/>
        <v/>
      </c>
      <c r="DR14" s="84" t="str">
        <f>IF($AH14="選手権",(VLOOKUP($DO14,参照データ!$D$88:$K$117,7,0)),"")</f>
        <v/>
      </c>
      <c r="DS14" s="85" t="str">
        <f t="shared" si="24"/>
        <v/>
      </c>
      <c r="DT14" s="33" t="str">
        <f t="shared" si="25"/>
        <v/>
      </c>
      <c r="DU14" s="32" t="str">
        <f t="shared" si="26"/>
        <v/>
      </c>
      <c r="DV14" s="85" t="str">
        <f t="shared" si="27"/>
        <v/>
      </c>
      <c r="DW14" s="736">
        <v>2</v>
      </c>
      <c r="DX14" s="93" t="s">
        <v>87</v>
      </c>
      <c r="DY14" s="94" t="str">
        <f t="shared" ref="DY14:DY71" si="37">IFERROR(INDEX($DO:$DO,MATCH($DX14,$DT:$DT,0)),"")</f>
        <v/>
      </c>
      <c r="DZ14" s="737" t="e">
        <f>IF($DY14&gt;$DY15,VLOOKUP($DY14,参照データ!$D$88:$K$117,8,0),VLOOKUP($DY15,参照データ!$D$88:$K$117,8,0))</f>
        <v>#N/A</v>
      </c>
      <c r="EA14" s="312" t="str">
        <f>IFERROR(VLOOKUP($DZ14,参照データ!$K$88:$O$117,5,0),"")</f>
        <v/>
      </c>
      <c r="EC14" s="491" t="str">
        <f t="shared" si="28"/>
        <v/>
      </c>
      <c r="EH14" s="35">
        <f>(COUNTIF($J14:$O14,"&lt;&gt;"))*参照データ!$E$3</f>
        <v>0</v>
      </c>
      <c r="EI14" s="219" t="str">
        <f>IF(P14="○",参照データ!$E$5,"")</f>
        <v/>
      </c>
      <c r="EJ14" s="219" t="str">
        <f>IF($Y14="○",参照データ!$E$4,"")</f>
        <v/>
      </c>
      <c r="EK14" s="18">
        <f>(SUM(COUNTIF($R14:$V14,{"入門","初級"}))*参照データ!$E$9)+(SUM(COUNTIF($R14:$V14,{"中級","上級"})*参照データ!$E$10))</f>
        <v>0</v>
      </c>
      <c r="EL14" s="18">
        <f>IFERROR(VLOOKUP($W14,参照データ!$D$9:$J$11,7,0),0)</f>
        <v>0</v>
      </c>
      <c r="EM14" s="18">
        <f>((COUNTIF($Z14:$AH14,"○"))*参照データ!$E$12)</f>
        <v>0</v>
      </c>
      <c r="EN14" s="18" t="str">
        <f>(IF($AJ14="○",参照データ!$J$12,""))</f>
        <v/>
      </c>
      <c r="EQ14" s="18">
        <f>((COUNTIF($Z14:$AH14,"選手権"))*参照データ!$E$13)</f>
        <v>0</v>
      </c>
      <c r="ER14" s="18" t="str">
        <f>(IF($AJ14="選手権",参照データ!$J$13,""))</f>
        <v/>
      </c>
      <c r="ES14" s="18">
        <f>(COUNTIF($AQ14:$AR14,"&lt;&gt;"))*参照データ!$H$3</f>
        <v>0</v>
      </c>
      <c r="ET14" s="18"/>
      <c r="EU14" s="18" t="str">
        <f>IF(AV14&lt;&gt;"",参照データ!$H$15,"")</f>
        <v/>
      </c>
      <c r="EV14" s="98" cm="1">
        <f t="array" ref="EV14">SUM(IF(ISERROR(EH14:EU14),0,(EH14:EU14)))</f>
        <v>0</v>
      </c>
      <c r="EW14" s="18"/>
      <c r="EX14" s="18">
        <f t="shared" si="11"/>
        <v>0</v>
      </c>
      <c r="EY14" s="18">
        <f t="shared" si="29"/>
        <v>0</v>
      </c>
      <c r="EZ14" s="18">
        <f t="shared" ref="EZ14:EZ71" si="38">COUNTA($Y14)</f>
        <v>0</v>
      </c>
      <c r="FA14" s="18">
        <f t="shared" si="30"/>
        <v>0</v>
      </c>
      <c r="FB14" s="18">
        <f t="shared" si="31"/>
        <v>0</v>
      </c>
      <c r="FC14" s="18">
        <f t="shared" si="32"/>
        <v>0</v>
      </c>
      <c r="FD14" s="18">
        <f t="shared" si="12"/>
        <v>0</v>
      </c>
      <c r="FE14" t="str">
        <f t="shared" si="33"/>
        <v/>
      </c>
    </row>
    <row r="15" spans="1:161" ht="18.75" customHeight="1" x14ac:dyDescent="0.2">
      <c r="A15">
        <v>4</v>
      </c>
      <c r="B15" s="14" t="str">
        <f>IF(D15="","",IF(D15="重複","",COUNTIF(B$12:$B14,"&gt;0")+1))</f>
        <v/>
      </c>
      <c r="C15" s="464"/>
      <c r="D15" s="177"/>
      <c r="E15" s="177"/>
      <c r="F15" s="31"/>
      <c r="G15" s="41"/>
      <c r="H15" s="351">
        <f t="shared" si="34"/>
        <v>0</v>
      </c>
      <c r="I15" s="193" t="str">
        <f>IF($AZ15=0,"",DATEDIF($AZ15,参照データ!$D$16,"Y"))</f>
        <v/>
      </c>
      <c r="J15" s="36"/>
      <c r="K15" s="36"/>
      <c r="L15" s="36"/>
      <c r="M15" s="36"/>
      <c r="N15" s="36"/>
      <c r="O15" s="42"/>
      <c r="P15" s="345"/>
      <c r="Q15" s="345"/>
      <c r="R15" s="43"/>
      <c r="S15" s="244"/>
      <c r="T15" s="244"/>
      <c r="U15" s="244"/>
      <c r="V15" s="245"/>
      <c r="W15" s="247"/>
      <c r="X15" s="250"/>
      <c r="Y15" s="345"/>
      <c r="Z15" s="388"/>
      <c r="AA15" s="346" t="str">
        <f>IF($Z15="○",VLOOKUP($CE15,参照データ!$D$65:$M$82,9,0),IF($Z15="選手権",VLOOKUP($DH15,参照データ!$D$88:$O$117,10,0),""))</f>
        <v/>
      </c>
      <c r="AB15" s="388"/>
      <c r="AC15" s="346" t="str">
        <f>IF($AB15="○",VLOOKUP($CE15,参照データ!$D$65:$M$82,10,0),IF($AB15="選手権",VLOOKUP($DH15,参照データ!$D$88:$O$117,11,0),""))</f>
        <v/>
      </c>
      <c r="AD15" s="388"/>
      <c r="AE15" s="346" t="str">
        <f>IF($AD15="○",VLOOKUP($CE15,参照データ!$D$65:$M$82,10,0),IF($AD15="選手権",VLOOKUP($DH15,参照データ!$D$88:$O$117,11,0),""))</f>
        <v/>
      </c>
      <c r="AF15" s="388"/>
      <c r="AG15" s="346" t="str">
        <f>IF($AF15="○",VLOOKUP($CE15,参照データ!$D$65:$M$82,10,0),IF($AF15="選手権",VLOOKUP($DO15,参照データ!$D$88:$O$117,12,0),""))</f>
        <v/>
      </c>
      <c r="AH15" s="388"/>
      <c r="AI15" s="346" t="str">
        <f>IF($AH15="○",VLOOKUP($CE15,参照データ!$D$65:$M$82,10,0),IF($AH15="選手権",VLOOKUP($DO15,参照データ!$D$88:$O$117,12,0),""))</f>
        <v/>
      </c>
      <c r="AJ15" s="388"/>
      <c r="AK15" s="511"/>
      <c r="AL15" s="346" t="str">
        <f t="shared" si="3"/>
        <v/>
      </c>
      <c r="AM15" s="392"/>
      <c r="AN15" s="391"/>
      <c r="AO15" s="391"/>
      <c r="AP15" s="447"/>
      <c r="AQ15" s="321"/>
      <c r="AR15" s="481"/>
      <c r="AS15" s="393"/>
      <c r="AT15" s="483"/>
      <c r="AU15" s="393"/>
      <c r="AV15" s="529"/>
      <c r="AW15" s="483"/>
      <c r="AY15" s="1" t="s">
        <v>146</v>
      </c>
      <c r="AZ15">
        <f>IF($D15="重複",VALUE($G14),VALUE($G15))</f>
        <v>0</v>
      </c>
      <c r="BA15" t="str">
        <f t="shared" si="35"/>
        <v/>
      </c>
      <c r="BB15" s="132"/>
      <c r="BD15" s="513" t="str">
        <f t="shared" si="4"/>
        <v/>
      </c>
      <c r="BE15" s="53" t="str">
        <f>IF($AZ15=0,"",IF(AND($I15&gt;=6,$I15&lt;=19),VLOOKUP($I15,参照データ!$B$24:$C$37,2,0),IF($I15&lt;6,6,19)))</f>
        <v/>
      </c>
      <c r="BF15" s="155" t="str">
        <f>IF($J15="○",VLOOKUP($BE15,参照データ!$C$24:$I$37,2,0),"")</f>
        <v/>
      </c>
      <c r="BG15" s="146" t="str">
        <f>IF($K15="○",VLOOKUP($BE15,参照データ!$C$24:$I$37,3,0),"")</f>
        <v/>
      </c>
      <c r="BH15" s="146" t="str">
        <f>IF($L15="○",VLOOKUP($BE15,参照データ!$C$24:$I$37,4,0),"")</f>
        <v/>
      </c>
      <c r="BI15" s="146" t="str">
        <f>IF($M15="○",VLOOKUP($BE15,参照データ!$C$24:$I$37,5,0),"")</f>
        <v/>
      </c>
      <c r="BJ15" s="146" t="str">
        <f>IF($N15="20日",VLOOKUP($BE15,参照データ!$C$24:$I$37,6,0),"")</f>
        <v/>
      </c>
      <c r="BK15" s="156" t="str">
        <f>IF($O15="20日",VLOOKUP($BE15,参照データ!$C$24:$I$37,7,0),"")</f>
        <v/>
      </c>
      <c r="BL15" s="155" t="str">
        <f>IF($J15="21日",VLOOKUP($BE15,参照データ!$C$24:$I$37,2,0),"")</f>
        <v/>
      </c>
      <c r="BM15" s="146" t="str">
        <f>IF($K15="21日",VLOOKUP($BE15,参照データ!$C$24:$I$37,3,0),"")</f>
        <v/>
      </c>
      <c r="BN15" s="146" t="str">
        <f>IF($L15="21日",VLOOKUP($BE15,参照データ!$C$24:$I$37,4,0),"")</f>
        <v/>
      </c>
      <c r="BO15" s="146" t="str">
        <f>IF($M15="21日",VLOOKUP($BE15,参照データ!$C$24:$I$37,5,0),"")</f>
        <v/>
      </c>
      <c r="BP15" s="146" t="str">
        <f>IF($N15="21日",VLOOKUP($BE15,参照データ!$C$24:$I$37,6,0),"")</f>
        <v/>
      </c>
      <c r="BQ15" s="156" t="str">
        <f>IF($O15="21日",VLOOKUP($BE15,参照データ!$C$24:$I$37,7,0),"")</f>
        <v/>
      </c>
      <c r="BR15" s="223" t="str">
        <f>IF($Y15="○",1,"")</f>
        <v/>
      </c>
      <c r="BS15" s="154" t="str">
        <f>IF($R15="入門",VLOOKUP($BE15,参照データ!$C$43:$U$56,2,0),IF($R15="初級",VLOOKUP($BE15,参照データ!$C$43:$U$56,3,0),IF($R15="中級",VLOOKUP($BE15,参照データ!$C$43:$U$56,4,0),IF($R15="上級",VLOOKUP($BE15,参照データ!$C$43:$U$56,5,0),""))))</f>
        <v/>
      </c>
      <c r="BT15" s="154" t="str">
        <f>IF($S15="初級",VLOOKUP($BE15,参照データ!$C$43:$U$56,6,0),IF($S15="中級",VLOOKUP($BE15,参照データ!$C$43:$U$56,7,0),IF($S15="上級",VLOOKUP($BE15,参照データ!$C$43:$U$56,8,0),"")))</f>
        <v/>
      </c>
      <c r="BU15" s="154" t="str">
        <f>IF($T15="初級",VLOOKUP($BE15,参照データ!$C$43:$U$56,9,0),IF($T15="上級",VLOOKUP($BE15,参照データ!$C$43:$U$56,10,0),""))</f>
        <v/>
      </c>
      <c r="BV15" s="154" t="str">
        <f>IF($U15="初級",VLOOKUP($BE15,参照データ!$C$43:$U$56,11,0),IF($U15="中級",VLOOKUP($BE15,参照データ!$C$43:$U$56,12,0),IF($U15="上級",VLOOKUP($BE15,参照データ!$C$43:$U$56,13,0),"")))</f>
        <v/>
      </c>
      <c r="BW15" s="154" t="str">
        <f>IF($V15="初級",VLOOKUP($BE15,参照データ!$C$43:$U$56,14,0),IF($V15="中級",VLOOKUP($BE15,参照データ!$C$43:$U$56,15,0),IF($V15="上級",VLOOKUP($BE15,参照データ!$C$43:$U$56,16,0),"")))</f>
        <v/>
      </c>
      <c r="BX15" s="47" t="str">
        <f t="shared" si="5"/>
        <v/>
      </c>
      <c r="BY15" s="47" t="str">
        <f>IF($W15="初級",VLOOKUP($BE15,参照データ!$C$43:$U$56,17,0),IF($W15="中級",VLOOKUP($BE15,参照データ!$C$43:$U$56,18,0),IF($W15="上級",VLOOKUP($BE15,参照データ!$C$43:$U$56,19,0),"")))</f>
        <v/>
      </c>
      <c r="BZ15" s="687"/>
      <c r="CA15" s="65" t="s">
        <v>227</v>
      </c>
      <c r="CB15" s="135" t="str">
        <f t="shared" si="13"/>
        <v/>
      </c>
      <c r="CC15" s="689"/>
      <c r="CE15" s="53" t="str">
        <f>IF(AND($AZ15&gt;=参照データ!$C$67,$AZ15&lt;=参照データ!$C$65),1,IF(AND($AZ15&gt;=参照データ!$C$70,$AZ15&lt;=参照データ!$C$68),2,IF(AND($AZ15&gt;=参照データ!$C$73,$AZ15&lt;=参照データ!$C$71),3,IF(AND($AZ15&gt;=参照データ!$C$76,$AZ15&lt;=参照データ!$C$74),4,IF(AND($AZ15&gt;=参照データ!$C$79,$AZ15&lt;=参照データ!$C$77),5,IF(AND($AZ15&gt;0,$AZ15&lt;=参照データ!$C$80),6,""))))))</f>
        <v/>
      </c>
      <c r="CF15" s="141" t="str">
        <f>IF($Z15="○",(VLOOKUP($CE15,参照データ!$D$65:$J$82,2,0)),"")</f>
        <v/>
      </c>
      <c r="CG15" s="71" t="str">
        <f t="shared" si="14"/>
        <v/>
      </c>
      <c r="CH15" s="70" t="str">
        <f>IF($AB15="○",(VLOOKUP($CE15,参照データ!$D$65:$J$82,3,0)),"")</f>
        <v/>
      </c>
      <c r="CI15" s="71" t="str">
        <f t="shared" si="15"/>
        <v/>
      </c>
      <c r="CJ15" s="70" t="str">
        <f>IF($AD15="○",(VLOOKUP($CE15,参照データ!$D$65:$J$82,4,0)),"")</f>
        <v/>
      </c>
      <c r="CK15" s="71" t="str">
        <f t="shared" si="16"/>
        <v/>
      </c>
      <c r="CL15" s="70" t="str">
        <f>IF($AF15="○",(VLOOKUP($CE15,参照データ!$D$65:$J$82,5,0)),"")</f>
        <v/>
      </c>
      <c r="CM15" s="71" t="str">
        <f t="shared" si="6"/>
        <v/>
      </c>
      <c r="CN15" s="70" t="str">
        <f>IF($AH15="○",(VLOOKUP($CE15,参照データ!$D$65:$J$82,6,0)),"")</f>
        <v/>
      </c>
      <c r="CO15" s="71" t="str">
        <f t="shared" si="17"/>
        <v/>
      </c>
      <c r="CP15" s="33" t="str">
        <f t="shared" si="18"/>
        <v/>
      </c>
      <c r="CQ15" s="32" t="str">
        <f t="shared" si="19"/>
        <v/>
      </c>
      <c r="CR15" s="71" t="str">
        <f t="shared" si="20"/>
        <v/>
      </c>
      <c r="CS15" s="682"/>
      <c r="CT15" s="77" t="s">
        <v>88</v>
      </c>
      <c r="CU15" s="78" t="str">
        <f t="shared" si="21"/>
        <v/>
      </c>
      <c r="CV15" s="684"/>
      <c r="CW15" s="308" t="str">
        <f t="shared" ref="CW15" si="39">$CW14</f>
        <v/>
      </c>
      <c r="CX15" s="70"/>
      <c r="CY15" s="172" t="str">
        <f t="shared" si="22"/>
        <v/>
      </c>
      <c r="DA15" s="32"/>
      <c r="DB15" s="161" t="str">
        <f t="shared" si="23"/>
        <v/>
      </c>
      <c r="DC15" s="744"/>
      <c r="DD15" s="164" t="s">
        <v>88</v>
      </c>
      <c r="DE15" s="165" t="str">
        <f>IF(COUNTIF($CZ$12:$CZ$71,DD15)&gt;=1,VLOOKUP(DD15,$CZ$12:$DA$71,2,0),"")</f>
        <v/>
      </c>
      <c r="DF15" s="742"/>
      <c r="DG15" t="str">
        <f>IF($DH15="","",DATEDIF($AZ15,参照データ!$D$19,"Y"))</f>
        <v/>
      </c>
      <c r="DH15" s="253" t="str">
        <f>IFERROR(IF($BA15="男子",VLOOKUP($DO15,参照データ!$D$88:$E$117,2,0),$DO15),0)</f>
        <v/>
      </c>
      <c r="DI15" s="84" t="str">
        <f>IF($Z15="選手権",(VLOOKUP($DH15,参照データ!$D$88:$K$117,3,0)),"")</f>
        <v/>
      </c>
      <c r="DJ15" s="85" t="str">
        <f t="shared" si="7"/>
        <v/>
      </c>
      <c r="DK15" s="84" t="str">
        <f>IF($AB15="選手権",(VLOOKUP($DH15,参照データ!$D$88:$K$117,4,0)),"")</f>
        <v/>
      </c>
      <c r="DL15" s="85" t="str">
        <f t="shared" si="8"/>
        <v/>
      </c>
      <c r="DM15" s="84" t="str">
        <f>IF($AD15="選手権",(VLOOKUP($DH15,参照データ!$D$88:$K$117,5,0)),"")</f>
        <v/>
      </c>
      <c r="DN15" s="85" t="str">
        <f t="shared" si="9"/>
        <v/>
      </c>
      <c r="DO15" s="53" t="str">
        <f>IF(AND($AZ15&gt;=参照データ!$C$90,$AZ15&lt;=参照データ!$C$88),1,IF(AND($AZ15&gt;=参照データ!$C$93,$AZ15&lt;=参照データ!$C$91),2,IF(AND($AZ15&gt;=参照データ!$C$99,$AZ15&lt;=参照データ!$C$97),3,IF(AND($AZ15&gt;=参照データ!$C$105,$AZ15&lt;=参照データ!$C$103),4,IF(AND($AZ15&gt;=参照データ!$C$111,$AZ15&lt;=参照データ!$C$109),5,IF(AND($AZ15&gt;0,$AZ15&lt;=参照データ!$C$112),6,""))))))</f>
        <v/>
      </c>
      <c r="DP15" s="84" t="str">
        <f>IF($AF15="選手権",(VLOOKUP($DO15,参照データ!$D$88:$K$117,6,0)),"")</f>
        <v/>
      </c>
      <c r="DQ15" s="85" t="str">
        <f t="shared" si="10"/>
        <v/>
      </c>
      <c r="DR15" s="84" t="str">
        <f>IF($AH15="選手権",(VLOOKUP($DO15,参照データ!$D$88:$K$117,7,0)),"")</f>
        <v/>
      </c>
      <c r="DS15" s="85" t="str">
        <f t="shared" si="24"/>
        <v/>
      </c>
      <c r="DT15" s="33" t="str">
        <f t="shared" si="25"/>
        <v/>
      </c>
      <c r="DU15" s="32" t="str">
        <f t="shared" si="26"/>
        <v/>
      </c>
      <c r="DV15" s="85" t="str">
        <f t="shared" si="27"/>
        <v/>
      </c>
      <c r="DW15" s="733"/>
      <c r="DX15" s="91" t="s">
        <v>88</v>
      </c>
      <c r="DY15" s="92" t="str">
        <f t="shared" si="37"/>
        <v/>
      </c>
      <c r="DZ15" s="735"/>
      <c r="EA15" s="312" t="str">
        <f t="shared" ref="EA15" si="40">$EA14</f>
        <v/>
      </c>
      <c r="EC15" s="491" t="str">
        <f t="shared" si="28"/>
        <v/>
      </c>
      <c r="EH15" s="35">
        <f>(COUNTIF($J15:$O15,"&lt;&gt;"))*参照データ!$E$3</f>
        <v>0</v>
      </c>
      <c r="EI15" s="219" t="str">
        <f>IF(P15="○",参照データ!$E$5,"")</f>
        <v/>
      </c>
      <c r="EJ15" s="219" t="str">
        <f>IF($Y15="○",参照データ!$E$4,"")</f>
        <v/>
      </c>
      <c r="EK15" s="18">
        <f>(SUM(COUNTIF($R15:$V15,{"入門","初級"}))*参照データ!$E$9)+(SUM(COUNTIF($R15:$V15,{"中級","上級"})*参照データ!$E$10))</f>
        <v>0</v>
      </c>
      <c r="EL15" s="18">
        <f>IFERROR(VLOOKUP($W15,参照データ!$D$9:$J$11,7,0),0)</f>
        <v>0</v>
      </c>
      <c r="EM15" s="18">
        <f>((COUNTIF($Z15:$AH15,"○"))*参照データ!$E$12)</f>
        <v>0</v>
      </c>
      <c r="EN15" s="18" t="str">
        <f>(IF($AJ15="○",参照データ!$J$12,""))</f>
        <v/>
      </c>
      <c r="EQ15" s="18">
        <f>((COUNTIF($Z15:$AH15,"選手権"))*参照データ!$E$13)</f>
        <v>0</v>
      </c>
      <c r="ER15" s="18" t="str">
        <f>(IF($AJ15="選手権",参照データ!$J$13,""))</f>
        <v/>
      </c>
      <c r="ES15" s="18">
        <f>(COUNTIF($AQ15:$AR15,"&lt;&gt;"))*参照データ!$H$3</f>
        <v>0</v>
      </c>
      <c r="ET15" s="18"/>
      <c r="EU15" s="18" t="str">
        <f>IF(AV15&lt;&gt;"",参照データ!$H$15,"")</f>
        <v/>
      </c>
      <c r="EV15" s="98" cm="1">
        <f t="array" ref="EV15">SUM(IF(ISERROR(EH15:EU15),0,(EH15:EU15)))</f>
        <v>0</v>
      </c>
      <c r="EW15" s="18"/>
      <c r="EX15" s="18">
        <f t="shared" si="11"/>
        <v>0</v>
      </c>
      <c r="EY15" s="18">
        <f t="shared" si="29"/>
        <v>0</v>
      </c>
      <c r="EZ15" s="18">
        <f t="shared" si="38"/>
        <v>0</v>
      </c>
      <c r="FA15" s="18">
        <f t="shared" si="30"/>
        <v>0</v>
      </c>
      <c r="FB15" s="18">
        <f t="shared" si="31"/>
        <v>0</v>
      </c>
      <c r="FC15" s="18">
        <f t="shared" si="32"/>
        <v>0</v>
      </c>
      <c r="FD15" s="18">
        <f t="shared" si="12"/>
        <v>0</v>
      </c>
      <c r="FE15" t="str">
        <f t="shared" si="33"/>
        <v/>
      </c>
    </row>
    <row r="16" spans="1:161" ht="18.75" customHeight="1" x14ac:dyDescent="0.2">
      <c r="A16">
        <v>5</v>
      </c>
      <c r="B16" s="14" t="str">
        <f>IF(D16="","",IF(D16="重複","",COUNTIF(B$12:$B15,"&gt;0")+1))</f>
        <v/>
      </c>
      <c r="C16" s="464"/>
      <c r="D16" s="177"/>
      <c r="E16" s="177"/>
      <c r="F16" s="31"/>
      <c r="G16" s="41"/>
      <c r="H16" s="351">
        <f t="shared" si="34"/>
        <v>0</v>
      </c>
      <c r="I16" s="193" t="str">
        <f>IF($AZ16=0,"",DATEDIF($AZ16,参照データ!$D$16,"Y"))</f>
        <v/>
      </c>
      <c r="J16" s="36"/>
      <c r="K16" s="36"/>
      <c r="L16" s="36"/>
      <c r="M16" s="36"/>
      <c r="N16" s="36"/>
      <c r="O16" s="42"/>
      <c r="P16" s="345"/>
      <c r="Q16" s="345"/>
      <c r="R16" s="43"/>
      <c r="S16" s="244"/>
      <c r="T16" s="244"/>
      <c r="U16" s="244"/>
      <c r="V16" s="245"/>
      <c r="W16" s="247"/>
      <c r="X16" s="250"/>
      <c r="Y16" s="345"/>
      <c r="Z16" s="388"/>
      <c r="AA16" s="346" t="str">
        <f>IF($Z16="○",VLOOKUP($CE16,参照データ!$D$65:$M$82,9,0),IF($Z16="選手権",VLOOKUP($DH16,参照データ!$D$88:$O$117,10,0),""))</f>
        <v/>
      </c>
      <c r="AB16" s="388"/>
      <c r="AC16" s="346" t="str">
        <f>IF($AB16="○",VLOOKUP($CE16,参照データ!$D$65:$M$82,10,0),IF($AB16="選手権",VLOOKUP($DH16,参照データ!$D$88:$O$117,11,0),""))</f>
        <v/>
      </c>
      <c r="AD16" s="388"/>
      <c r="AE16" s="346" t="str">
        <f>IF($AD16="○",VLOOKUP($CE16,参照データ!$D$65:$M$82,10,0),IF($AD16="選手権",VLOOKUP($DH16,参照データ!$D$88:$O$117,11,0),""))</f>
        <v/>
      </c>
      <c r="AF16" s="388"/>
      <c r="AG16" s="346" t="str">
        <f>IF($AF16="○",VLOOKUP($CE16,参照データ!$D$65:$M$82,10,0),IF($AF16="選手権",VLOOKUP($DO16,参照データ!$D$88:$O$117,12,0),""))</f>
        <v/>
      </c>
      <c r="AH16" s="388"/>
      <c r="AI16" s="346" t="str">
        <f>IF($AH16="○",VLOOKUP($CE16,参照データ!$D$65:$M$82,10,0),IF($AH16="選手権",VLOOKUP($DO16,参照データ!$D$88:$O$117,12,0),""))</f>
        <v/>
      </c>
      <c r="AJ16" s="388"/>
      <c r="AK16" s="511"/>
      <c r="AL16" s="346" t="str">
        <f t="shared" si="3"/>
        <v/>
      </c>
      <c r="AM16" s="392"/>
      <c r="AN16" s="391"/>
      <c r="AO16" s="391"/>
      <c r="AP16" s="447"/>
      <c r="AQ16" s="321"/>
      <c r="AR16" s="481"/>
      <c r="AS16" s="393"/>
      <c r="AT16" s="483"/>
      <c r="AU16" s="393"/>
      <c r="AV16" s="529"/>
      <c r="AW16" s="483"/>
      <c r="AY16" s="1" t="s">
        <v>147</v>
      </c>
      <c r="AZ16">
        <f t="shared" ref="AZ16:AZ19" si="41">IF($D16="重複",VALUE($G15),VALUE($G16))</f>
        <v>0</v>
      </c>
      <c r="BA16" t="str">
        <f t="shared" si="35"/>
        <v/>
      </c>
      <c r="BB16" s="132"/>
      <c r="BD16" s="513" t="str">
        <f t="shared" si="4"/>
        <v/>
      </c>
      <c r="BE16" s="53" t="str">
        <f>IF($AZ16=0,"",IF(AND($I16&gt;=6,$I16&lt;=19),VLOOKUP($I16,参照データ!$B$24:$C$37,2,0),IF($I16&lt;6,6,19)))</f>
        <v/>
      </c>
      <c r="BF16" s="155" t="str">
        <f>IF($J16="○",VLOOKUP($BE16,参照データ!$C$24:$I$37,2,0),"")</f>
        <v/>
      </c>
      <c r="BG16" s="146" t="str">
        <f>IF($K16="○",VLOOKUP($BE16,参照データ!$C$24:$I$37,3,0),"")</f>
        <v/>
      </c>
      <c r="BH16" s="146" t="str">
        <f>IF($L16="○",VLOOKUP($BE16,参照データ!$C$24:$I$37,4,0),"")</f>
        <v/>
      </c>
      <c r="BI16" s="146" t="str">
        <f>IF($M16="○",VLOOKUP($BE16,参照データ!$C$24:$I$37,5,0),"")</f>
        <v/>
      </c>
      <c r="BJ16" s="146" t="str">
        <f>IF($N16="20日",VLOOKUP($BE16,参照データ!$C$24:$I$37,6,0),"")</f>
        <v/>
      </c>
      <c r="BK16" s="156" t="str">
        <f>IF($O16="20日",VLOOKUP($BE16,参照データ!$C$24:$I$37,7,0),"")</f>
        <v/>
      </c>
      <c r="BL16" s="155" t="str">
        <f>IF($J16="21日",VLOOKUP($BE16,参照データ!$C$24:$I$37,2,0),"")</f>
        <v/>
      </c>
      <c r="BM16" s="146" t="str">
        <f>IF($K16="21日",VLOOKUP($BE16,参照データ!$C$24:$I$37,3,0),"")</f>
        <v/>
      </c>
      <c r="BN16" s="146" t="str">
        <f>IF($L16="21日",VLOOKUP($BE16,参照データ!$C$24:$I$37,4,0),"")</f>
        <v/>
      </c>
      <c r="BO16" s="146" t="str">
        <f>IF($M16="21日",VLOOKUP($BE16,参照データ!$C$24:$I$37,5,0),"")</f>
        <v/>
      </c>
      <c r="BP16" s="146" t="str">
        <f>IF($N16="21日",VLOOKUP($BE16,参照データ!$C$24:$I$37,6,0),"")</f>
        <v/>
      </c>
      <c r="BQ16" s="156" t="str">
        <f>IF($O16="21日",VLOOKUP($BE16,参照データ!$C$24:$I$37,7,0),"")</f>
        <v/>
      </c>
      <c r="BR16" s="223" t="str">
        <f t="shared" ref="BR16:BR71" si="42">IF($Y16="○",1,"")</f>
        <v/>
      </c>
      <c r="BS16" s="154" t="str">
        <f>IF($R16="入門",VLOOKUP($BE16,参照データ!$C$43:$U$56,2,0),IF($R16="初級",VLOOKUP($BE16,参照データ!$C$43:$U$56,3,0),IF($R16="中級",VLOOKUP($BE16,参照データ!$C$43:$U$56,4,0),IF($R16="上級",VLOOKUP($BE16,参照データ!$C$43:$U$56,5,0),""))))</f>
        <v/>
      </c>
      <c r="BT16" s="154" t="str">
        <f>IF($S16="初級",VLOOKUP($BE16,参照データ!$C$43:$U$56,6,0),IF($S16="中級",VLOOKUP($BE16,参照データ!$C$43:$U$56,7,0),IF($S16="上級",VLOOKUP($BE16,参照データ!$C$43:$U$56,8,0),"")))</f>
        <v/>
      </c>
      <c r="BU16" s="154" t="str">
        <f>IF($T16="初級",VLOOKUP($BE16,参照データ!$C$43:$U$56,9,0),IF($T16="上級",VLOOKUP($BE16,参照データ!$C$43:$U$56,10,0),""))</f>
        <v/>
      </c>
      <c r="BV16" s="154" t="str">
        <f>IF($U16="初級",VLOOKUP($BE16,参照データ!$C$43:$U$56,11,0),IF($U16="中級",VLOOKUP($BE16,参照データ!$C$43:$U$56,12,0),IF($U16="上級",VLOOKUP($BE16,参照データ!$C$43:$U$56,13,0),"")))</f>
        <v/>
      </c>
      <c r="BW16" s="154" t="str">
        <f>IF($V16="初級",VLOOKUP($BE16,参照データ!$C$43:$U$56,14,0),IF($V16="中級",VLOOKUP($BE16,参照データ!$C$43:$U$56,15,0),IF($V16="上級",VLOOKUP($BE16,参照データ!$C$43:$U$56,16,0),"")))</f>
        <v/>
      </c>
      <c r="BX16" s="47" t="str">
        <f t="shared" si="5"/>
        <v/>
      </c>
      <c r="BY16" s="47" t="str">
        <f>IF($W16="初級",VLOOKUP($BE16,参照データ!$C$43:$U$56,17,0),IF($W16="中級",VLOOKUP($BE16,参照データ!$C$43:$U$56,18,0),IF($W16="上級",VLOOKUP($BE16,参照データ!$C$43:$U$56,19,0),"")))</f>
        <v/>
      </c>
      <c r="BZ16" s="686">
        <v>3</v>
      </c>
      <c r="CA16" s="66" t="s">
        <v>228</v>
      </c>
      <c r="CB16" s="136" t="str">
        <f t="shared" si="13"/>
        <v/>
      </c>
      <c r="CC16" s="688" t="str">
        <f t="shared" ref="CC16" si="43">IF(OR($CB16="",$CB17=""),"",IF($CB16&gt;$CB17,$CB16,$CB17))</f>
        <v/>
      </c>
      <c r="CE16" s="53" t="str">
        <f>IF(AND($AZ16&gt;=参照データ!$C$67,$AZ16&lt;=参照データ!$C$65),1,IF(AND($AZ16&gt;=参照データ!$C$70,$AZ16&lt;=参照データ!$C$68),2,IF(AND($AZ16&gt;=参照データ!$C$73,$AZ16&lt;=参照データ!$C$71),3,IF(AND($AZ16&gt;=参照データ!$C$76,$AZ16&lt;=参照データ!$C$74),4,IF(AND($AZ16&gt;=参照データ!$C$79,$AZ16&lt;=参照データ!$C$77),5,IF(AND($AZ16&gt;0,$AZ16&lt;=参照データ!$C$80),6,""))))))</f>
        <v/>
      </c>
      <c r="CF16" s="141" t="str">
        <f>IF($Z16="○",(VLOOKUP($CE16,参照データ!$D$65:$J$82,2,0)),"")</f>
        <v/>
      </c>
      <c r="CG16" s="71" t="str">
        <f t="shared" si="14"/>
        <v/>
      </c>
      <c r="CH16" s="70" t="str">
        <f>IF($AB16="○",(VLOOKUP($CE16,参照データ!$D$65:$J$82,3,0)),"")</f>
        <v/>
      </c>
      <c r="CI16" s="71" t="str">
        <f t="shared" si="15"/>
        <v/>
      </c>
      <c r="CJ16" s="70" t="str">
        <f>IF($AD16="○",(VLOOKUP($CE16,参照データ!$D$65:$J$82,4,0)),"")</f>
        <v/>
      </c>
      <c r="CK16" s="71" t="str">
        <f t="shared" si="16"/>
        <v/>
      </c>
      <c r="CL16" s="70" t="str">
        <f>IF($AF16="○",(VLOOKUP($CE16,参照データ!$D$65:$J$82,5,0)),"")</f>
        <v/>
      </c>
      <c r="CM16" s="71" t="str">
        <f t="shared" si="6"/>
        <v/>
      </c>
      <c r="CN16" s="70" t="str">
        <f>IF($AH16="○",(VLOOKUP($CE16,参照データ!$D$65:$J$82,6,0)),"")</f>
        <v/>
      </c>
      <c r="CO16" s="71" t="str">
        <f t="shared" si="17"/>
        <v/>
      </c>
      <c r="CP16" s="33" t="str">
        <f t="shared" si="18"/>
        <v/>
      </c>
      <c r="CQ16" s="32" t="str">
        <f t="shared" si="19"/>
        <v/>
      </c>
      <c r="CR16" s="71" t="str">
        <f t="shared" si="20"/>
        <v/>
      </c>
      <c r="CS16" s="681">
        <v>3</v>
      </c>
      <c r="CT16" s="79" t="s">
        <v>89</v>
      </c>
      <c r="CU16" s="80" t="str">
        <f t="shared" si="21"/>
        <v/>
      </c>
      <c r="CV16" s="683" t="e">
        <f>IF($CU16&gt;$CU17,VLOOKUP($CU16,参照データ!$D$65:$J$82,7,0),VLOOKUP($CU17,参照データ!$D$65:$J$82,7,0))</f>
        <v>#N/A</v>
      </c>
      <c r="CW16" s="308" t="str">
        <f>IFERROR(VLOOKUP($CV16,参照データ!$J$65:$M$82,4,0),"")</f>
        <v/>
      </c>
      <c r="CX16" s="70"/>
      <c r="CY16" s="172" t="str">
        <f t="shared" si="22"/>
        <v/>
      </c>
      <c r="DA16" s="32"/>
      <c r="DB16" s="161" t="str">
        <f t="shared" si="23"/>
        <v/>
      </c>
      <c r="DC16" s="743">
        <v>3</v>
      </c>
      <c r="DD16" s="166" t="s">
        <v>89</v>
      </c>
      <c r="DE16" s="167" t="str">
        <f t="shared" ref="DE16:DE71" si="44">IF(COUNTIF($CZ$12:$CZ$71,DD16)&gt;=1,VLOOKUP(DD16,$CZ$12:$DA$71,2,0),"")</f>
        <v/>
      </c>
      <c r="DF16" s="741" t="str">
        <f>IF(OR(DE16="",DE17=""),"",IF(DE16&gt;DE17,DE16,DE17))</f>
        <v/>
      </c>
      <c r="DG16" t="str">
        <f>IF($DH16="","",DATEDIF($AZ16,参照データ!$D$19,"Y"))</f>
        <v/>
      </c>
      <c r="DH16" s="253" t="str">
        <f>IFERROR(IF($BA16="男子",VLOOKUP($DO16,参照データ!$D$88:$E$117,2,0),$DO16),0)</f>
        <v/>
      </c>
      <c r="DI16" s="84" t="str">
        <f>IF($Z16="選手権",(VLOOKUP($DH16,参照データ!$D$88:$K$117,3,0)),"")</f>
        <v/>
      </c>
      <c r="DJ16" s="85" t="str">
        <f t="shared" si="7"/>
        <v/>
      </c>
      <c r="DK16" s="84" t="str">
        <f>IF($AB16="選手権",(VLOOKUP($DH16,参照データ!$D$88:$K$117,4,0)),"")</f>
        <v/>
      </c>
      <c r="DL16" s="85" t="str">
        <f t="shared" si="8"/>
        <v/>
      </c>
      <c r="DM16" s="84" t="str">
        <f>IF($AD16="選手権",(VLOOKUP($DH16,参照データ!$D$88:$K$117,5,0)),"")</f>
        <v/>
      </c>
      <c r="DN16" s="85" t="str">
        <f t="shared" si="9"/>
        <v/>
      </c>
      <c r="DO16" s="53" t="str">
        <f>IF(AND($AZ16&gt;=参照データ!$C$90,$AZ16&lt;=参照データ!$C$88),1,IF(AND($AZ16&gt;=参照データ!$C$93,$AZ16&lt;=参照データ!$C$91),2,IF(AND($AZ16&gt;=参照データ!$C$99,$AZ16&lt;=参照データ!$C$97),3,IF(AND($AZ16&gt;=参照データ!$C$105,$AZ16&lt;=参照データ!$C$103),4,IF(AND($AZ16&gt;=参照データ!$C$111,$AZ16&lt;=参照データ!$C$109),5,IF(AND($AZ16&gt;0,$AZ16&lt;=参照データ!$C$112),6,""))))))</f>
        <v/>
      </c>
      <c r="DP16" s="84" t="str">
        <f>IF($AF16="選手権",(VLOOKUP($DO16,参照データ!$D$88:$K$117,6,0)),"")</f>
        <v/>
      </c>
      <c r="DQ16" s="85" t="str">
        <f t="shared" si="10"/>
        <v/>
      </c>
      <c r="DR16" s="84" t="str">
        <f>IF($AH16="選手権",(VLOOKUP($DO16,参照データ!$D$88:$K$117,7,0)),"")</f>
        <v/>
      </c>
      <c r="DS16" s="85" t="str">
        <f t="shared" si="24"/>
        <v/>
      </c>
      <c r="DT16" s="33" t="str">
        <f t="shared" si="25"/>
        <v/>
      </c>
      <c r="DU16" s="32" t="str">
        <f t="shared" si="26"/>
        <v/>
      </c>
      <c r="DV16" s="85" t="str">
        <f t="shared" si="27"/>
        <v/>
      </c>
      <c r="DW16" s="736">
        <v>3</v>
      </c>
      <c r="DX16" s="93" t="s">
        <v>89</v>
      </c>
      <c r="DY16" s="94" t="str">
        <f t="shared" si="37"/>
        <v/>
      </c>
      <c r="DZ16" s="737" t="e">
        <f>IF($DY16&gt;$DY17,VLOOKUP($DY16,参照データ!$D$88:$K$117,8,0),VLOOKUP($DY17,参照データ!$D$88:$K$117,8,0))</f>
        <v>#N/A</v>
      </c>
      <c r="EA16" s="312" t="str">
        <f>IFERROR(VLOOKUP($DZ16,参照データ!$K$88:$O$117,5,0),"")</f>
        <v/>
      </c>
      <c r="EC16" s="491" t="str">
        <f>IF($AR16="","",$AR16)</f>
        <v/>
      </c>
      <c r="EH16" s="35">
        <f>(COUNTIF($J16:$O16,"&lt;&gt;"))*参照データ!$E$3</f>
        <v>0</v>
      </c>
      <c r="EI16" s="219" t="str">
        <f>IF(P16="○",参照データ!$E$5,"")</f>
        <v/>
      </c>
      <c r="EJ16" s="219" t="str">
        <f>IF($Y16="○",参照データ!$E$4,"")</f>
        <v/>
      </c>
      <c r="EK16" s="18">
        <f>(SUM(COUNTIF($R16:$V16,{"入門","初級"}))*参照データ!$E$9)+(SUM(COUNTIF($R16:$V16,{"中級","上級"})*参照データ!$E$10))</f>
        <v>0</v>
      </c>
      <c r="EL16" s="18">
        <f>IFERROR(VLOOKUP($W16,参照データ!$D$9:$J$11,7,0),0)</f>
        <v>0</v>
      </c>
      <c r="EM16" s="18">
        <f>((COUNTIF($Z16:$AH16,"○"))*参照データ!$E$12)</f>
        <v>0</v>
      </c>
      <c r="EN16" s="18" t="str">
        <f>(IF($AJ16="○",参照データ!$J$12,""))</f>
        <v/>
      </c>
      <c r="EQ16" s="18">
        <f>((COUNTIF($Z16:$AH16,"選手権"))*参照データ!$E$13)</f>
        <v>0</v>
      </c>
      <c r="ER16" s="18" t="str">
        <f>(IF($AJ16="選手権",参照データ!$J$13,""))</f>
        <v/>
      </c>
      <c r="ES16" s="18">
        <f>(COUNTIF($AQ16:$AR16,"&lt;&gt;"))*参照データ!$H$3</f>
        <v>0</v>
      </c>
      <c r="ET16" s="18"/>
      <c r="EU16" s="18" t="str">
        <f>IF(AV16&lt;&gt;"",参照データ!$H$15,"")</f>
        <v/>
      </c>
      <c r="EV16" s="98" cm="1">
        <f t="array" ref="EV16">SUM(IF(ISERROR(EH16:EU16),0,(EH16:EU16)))</f>
        <v>0</v>
      </c>
      <c r="EW16" s="18"/>
      <c r="EX16" s="18">
        <f t="shared" si="11"/>
        <v>0</v>
      </c>
      <c r="EY16" s="18">
        <f t="shared" si="29"/>
        <v>0</v>
      </c>
      <c r="EZ16" s="18">
        <f t="shared" si="38"/>
        <v>0</v>
      </c>
      <c r="FA16" s="18">
        <f t="shared" si="30"/>
        <v>0</v>
      </c>
      <c r="FB16" s="18">
        <f t="shared" si="31"/>
        <v>0</v>
      </c>
      <c r="FC16" s="18">
        <f t="shared" si="32"/>
        <v>0</v>
      </c>
      <c r="FD16" s="18">
        <f t="shared" si="12"/>
        <v>0</v>
      </c>
      <c r="FE16" t="str">
        <f t="shared" si="33"/>
        <v/>
      </c>
    </row>
    <row r="17" spans="1:161" ht="18.75" customHeight="1" x14ac:dyDescent="0.2">
      <c r="A17">
        <v>6</v>
      </c>
      <c r="B17" s="14" t="str">
        <f>IF(D17="","",IF(D17="重複","",COUNTIF(B$12:$B16,"&gt;0")+1))</f>
        <v/>
      </c>
      <c r="C17" s="464"/>
      <c r="D17" s="177"/>
      <c r="E17" s="177"/>
      <c r="F17" s="31"/>
      <c r="G17" s="41"/>
      <c r="H17" s="351">
        <f t="shared" si="34"/>
        <v>0</v>
      </c>
      <c r="I17" s="193" t="str">
        <f>IF($AZ17=0,"",DATEDIF($AZ17,参照データ!$D$16,"Y"))</f>
        <v/>
      </c>
      <c r="J17" s="36"/>
      <c r="K17" s="36"/>
      <c r="L17" s="36"/>
      <c r="M17" s="36"/>
      <c r="N17" s="36"/>
      <c r="O17" s="42"/>
      <c r="P17" s="345"/>
      <c r="Q17" s="345"/>
      <c r="R17" s="43"/>
      <c r="S17" s="244"/>
      <c r="T17" s="244"/>
      <c r="U17" s="244"/>
      <c r="V17" s="245"/>
      <c r="W17" s="247"/>
      <c r="X17" s="250"/>
      <c r="Y17" s="345"/>
      <c r="Z17" s="388"/>
      <c r="AA17" s="346" t="str">
        <f>IF($Z17="○",VLOOKUP($CE17,参照データ!$D$65:$M$82,9,0),IF($Z17="選手権",VLOOKUP($DH17,参照データ!$D$88:$O$117,10,0),""))</f>
        <v/>
      </c>
      <c r="AB17" s="388"/>
      <c r="AC17" s="346" t="str">
        <f>IF($AB17="○",VLOOKUP($CE17,参照データ!$D$65:$M$82,10,0),IF($AB17="選手権",VLOOKUP($DH17,参照データ!$D$88:$O$117,11,0),""))</f>
        <v/>
      </c>
      <c r="AD17" s="388"/>
      <c r="AE17" s="346" t="str">
        <f>IF($AD17="○",VLOOKUP($CE17,参照データ!$D$65:$M$82,10,0),IF($AD17="選手権",VLOOKUP($DH17,参照データ!$D$88:$O$117,11,0),""))</f>
        <v/>
      </c>
      <c r="AF17" s="388"/>
      <c r="AG17" s="346" t="str">
        <f>IF($AF17="○",VLOOKUP($CE17,参照データ!$D$65:$M$82,10,0),IF($AF17="選手権",VLOOKUP($DO17,参照データ!$D$88:$O$117,12,0),""))</f>
        <v/>
      </c>
      <c r="AH17" s="388"/>
      <c r="AI17" s="346" t="str">
        <f>IF($AH17="○",VLOOKUP($CE17,参照データ!$D$65:$M$82,10,0),IF($AH17="選手権",VLOOKUP($DO17,参照データ!$D$88:$O$117,12,0),""))</f>
        <v/>
      </c>
      <c r="AJ17" s="388"/>
      <c r="AK17" s="511"/>
      <c r="AL17" s="346" t="str">
        <f t="shared" si="3"/>
        <v/>
      </c>
      <c r="AM17" s="392"/>
      <c r="AN17" s="391"/>
      <c r="AO17" s="391"/>
      <c r="AP17" s="447"/>
      <c r="AQ17" s="321"/>
      <c r="AR17" s="481"/>
      <c r="AS17" s="393"/>
      <c r="AT17" s="483"/>
      <c r="AU17" s="393"/>
      <c r="AV17" s="529"/>
      <c r="AW17" s="483"/>
      <c r="AY17" s="1" t="s">
        <v>148</v>
      </c>
      <c r="AZ17">
        <f>IF($D17="重複",VALUE($G16),VALUE($G17))</f>
        <v>0</v>
      </c>
      <c r="BA17" t="str">
        <f t="shared" si="35"/>
        <v/>
      </c>
      <c r="BB17" s="132"/>
      <c r="BD17" s="513" t="str">
        <f t="shared" si="4"/>
        <v/>
      </c>
      <c r="BE17" s="53" t="str">
        <f>IF($AZ17=0,"",IF(AND($I17&gt;=6,$I17&lt;=19),VLOOKUP($I17,参照データ!$B$24:$C$37,2,0),IF($I17&lt;6,6,19)))</f>
        <v/>
      </c>
      <c r="BF17" s="155" t="str">
        <f>IF($J17="○",VLOOKUP($BE17,参照データ!$C$24:$I$37,2,0),"")</f>
        <v/>
      </c>
      <c r="BG17" s="146" t="str">
        <f>IF($K17="○",VLOOKUP($BE17,参照データ!$C$24:$I$37,3,0),"")</f>
        <v/>
      </c>
      <c r="BH17" s="146" t="str">
        <f>IF($L17="○",VLOOKUP($BE17,参照データ!$C$24:$I$37,4,0),"")</f>
        <v/>
      </c>
      <c r="BI17" s="146" t="str">
        <f>IF($M17="○",VLOOKUP($BE17,参照データ!$C$24:$I$37,5,0),"")</f>
        <v/>
      </c>
      <c r="BJ17" s="146" t="str">
        <f>IF($N17="20日",VLOOKUP($BE17,参照データ!$C$24:$I$37,6,0),"")</f>
        <v/>
      </c>
      <c r="BK17" s="156" t="str">
        <f>IF($O17="20日",VLOOKUP($BE17,参照データ!$C$24:$I$37,7,0),"")</f>
        <v/>
      </c>
      <c r="BL17" s="155" t="str">
        <f>IF($J17="21日",VLOOKUP($BE17,参照データ!$C$24:$I$37,2,0),"")</f>
        <v/>
      </c>
      <c r="BM17" s="146" t="str">
        <f>IF($K17="21日",VLOOKUP($BE17,参照データ!$C$24:$I$37,3,0),"")</f>
        <v/>
      </c>
      <c r="BN17" s="146" t="str">
        <f>IF($L17="21日",VLOOKUP($BE17,参照データ!$C$24:$I$37,4,0),"")</f>
        <v/>
      </c>
      <c r="BO17" s="146" t="str">
        <f>IF($M17="21日",VLOOKUP($BE17,参照データ!$C$24:$I$37,5,0),"")</f>
        <v/>
      </c>
      <c r="BP17" s="146" t="str">
        <f>IF($N17="21日",VLOOKUP($BE17,参照データ!$C$24:$I$37,6,0),"")</f>
        <v/>
      </c>
      <c r="BQ17" s="156" t="str">
        <f>IF($O17="21日",VLOOKUP($BE17,参照データ!$C$24:$I$37,7,0),"")</f>
        <v/>
      </c>
      <c r="BR17" s="223" t="str">
        <f t="shared" si="42"/>
        <v/>
      </c>
      <c r="BS17" s="154" t="str">
        <f>IF($R17="入門",VLOOKUP($BE17,参照データ!$C$43:$U$56,2,0),IF($R17="初級",VLOOKUP($BE17,参照データ!$C$43:$U$56,3,0),IF($R17="中級",VLOOKUP($BE17,参照データ!$C$43:$U$56,4,0),IF($R17="上級",VLOOKUP($BE17,参照データ!$C$43:$U$56,5,0),""))))</f>
        <v/>
      </c>
      <c r="BT17" s="154" t="str">
        <f>IF($S17="初級",VLOOKUP($BE17,参照データ!$C$43:$U$56,6,0),IF($S17="中級",VLOOKUP($BE17,参照データ!$C$43:$U$56,7,0),IF($S17="上級",VLOOKUP($BE17,参照データ!$C$43:$U$56,8,0),"")))</f>
        <v/>
      </c>
      <c r="BU17" s="154" t="str">
        <f>IF($T17="初級",VLOOKUP($BE17,参照データ!$C$43:$U$56,9,0),IF($T17="上級",VLOOKUP($BE17,参照データ!$C$43:$U$56,10,0),""))</f>
        <v/>
      </c>
      <c r="BV17" s="154" t="str">
        <f>IF($U17="初級",VLOOKUP($BE17,参照データ!$C$43:$U$56,11,0),IF($U17="中級",VLOOKUP($BE17,参照データ!$C$43:$U$56,12,0),IF($U17="上級",VLOOKUP($BE17,参照データ!$C$43:$U$56,13,0),"")))</f>
        <v/>
      </c>
      <c r="BW17" s="154" t="str">
        <f>IF($V17="初級",VLOOKUP($BE17,参照データ!$C$43:$U$56,14,0),IF($V17="中級",VLOOKUP($BE17,参照データ!$C$43:$U$56,15,0),IF($V17="上級",VLOOKUP($BE17,参照データ!$C$43:$U$56,16,0),"")))</f>
        <v/>
      </c>
      <c r="BX17" s="47" t="str">
        <f t="shared" si="5"/>
        <v/>
      </c>
      <c r="BY17" s="47" t="str">
        <f>IF($W17="初級",VLOOKUP($BE17,参照データ!$C$43:$U$56,17,0),IF($W17="中級",VLOOKUP($BE17,参照データ!$C$43:$U$56,18,0),IF($W17="上級",VLOOKUP($BE17,参照データ!$C$43:$U$56,19,0),"")))</f>
        <v/>
      </c>
      <c r="BZ17" s="687"/>
      <c r="CA17" s="65" t="s">
        <v>229</v>
      </c>
      <c r="CB17" s="135" t="str">
        <f t="shared" si="13"/>
        <v/>
      </c>
      <c r="CC17" s="689"/>
      <c r="CE17" s="53" t="str">
        <f>IF(AND($AZ17&gt;=参照データ!$C$67,$AZ17&lt;=参照データ!$C$65),1,IF(AND($AZ17&gt;=参照データ!$C$70,$AZ17&lt;=参照データ!$C$68),2,IF(AND($AZ17&gt;=参照データ!$C$73,$AZ17&lt;=参照データ!$C$71),3,IF(AND($AZ17&gt;=参照データ!$C$76,$AZ17&lt;=参照データ!$C$74),4,IF(AND($AZ17&gt;=参照データ!$C$79,$AZ17&lt;=参照データ!$C$77),5,IF(AND($AZ17&gt;0,$AZ17&lt;=参照データ!$C$80),6,""))))))</f>
        <v/>
      </c>
      <c r="CF17" s="141" t="str">
        <f>IF($Z17="○",(VLOOKUP($CE17,参照データ!$D$65:$J$82,2,0)),"")</f>
        <v/>
      </c>
      <c r="CG17" s="71" t="str">
        <f t="shared" si="14"/>
        <v/>
      </c>
      <c r="CH17" s="70" t="str">
        <f>IF($AB17="○",(VLOOKUP($CE17,参照データ!$D$65:$J$82,3,0)),"")</f>
        <v/>
      </c>
      <c r="CI17" s="71" t="str">
        <f t="shared" si="15"/>
        <v/>
      </c>
      <c r="CJ17" s="70" t="str">
        <f>IF($AD17="○",(VLOOKUP($CE17,参照データ!$D$65:$J$82,4,0)),"")</f>
        <v/>
      </c>
      <c r="CK17" s="71" t="str">
        <f t="shared" si="16"/>
        <v/>
      </c>
      <c r="CL17" s="70" t="str">
        <f>IF($AF17="○",(VLOOKUP($CE17,参照データ!$D$65:$J$82,5,0)),"")</f>
        <v/>
      </c>
      <c r="CM17" s="71" t="str">
        <f t="shared" si="6"/>
        <v/>
      </c>
      <c r="CN17" s="70" t="str">
        <f>IF($AH17="○",(VLOOKUP($CE17,参照データ!$D$65:$J$82,6,0)),"")</f>
        <v/>
      </c>
      <c r="CO17" s="71" t="str">
        <f t="shared" si="17"/>
        <v/>
      </c>
      <c r="CP17" s="33" t="str">
        <f t="shared" si="18"/>
        <v/>
      </c>
      <c r="CQ17" s="32" t="str">
        <f t="shared" si="19"/>
        <v/>
      </c>
      <c r="CR17" s="71" t="str">
        <f t="shared" si="20"/>
        <v/>
      </c>
      <c r="CS17" s="682"/>
      <c r="CT17" s="77" t="s">
        <v>90</v>
      </c>
      <c r="CU17" s="78" t="str">
        <f t="shared" si="21"/>
        <v/>
      </c>
      <c r="CV17" s="684"/>
      <c r="CW17" s="308" t="str">
        <f t="shared" ref="CW17" si="45">$CW16</f>
        <v/>
      </c>
      <c r="CX17" s="70"/>
      <c r="CY17" s="172" t="str">
        <f t="shared" si="22"/>
        <v/>
      </c>
      <c r="DA17" s="32"/>
      <c r="DB17" s="161" t="str">
        <f t="shared" si="23"/>
        <v/>
      </c>
      <c r="DC17" s="744"/>
      <c r="DD17" s="164" t="s">
        <v>90</v>
      </c>
      <c r="DE17" s="165" t="str">
        <f t="shared" si="44"/>
        <v/>
      </c>
      <c r="DF17" s="742"/>
      <c r="DG17" t="str">
        <f>IF($DH17="","",DATEDIF($AZ17,参照データ!$D$19,"Y"))</f>
        <v/>
      </c>
      <c r="DH17" s="253" t="str">
        <f>IFERROR(IF($BA17="男子",VLOOKUP($DO17,参照データ!$D$88:$E$117,2,0),$DO17),0)</f>
        <v/>
      </c>
      <c r="DI17" s="84" t="str">
        <f>IF($Z17="選手権",(VLOOKUP($DH17,参照データ!$D$88:$K$117,3,0)),"")</f>
        <v/>
      </c>
      <c r="DJ17" s="85" t="str">
        <f t="shared" si="7"/>
        <v/>
      </c>
      <c r="DK17" s="84" t="str">
        <f>IF($AB17="選手権",(VLOOKUP($DH17,参照データ!$D$88:$K$117,4,0)),"")</f>
        <v/>
      </c>
      <c r="DL17" s="85" t="str">
        <f t="shared" si="8"/>
        <v/>
      </c>
      <c r="DM17" s="84" t="str">
        <f>IF($AD17="選手権",(VLOOKUP($DH17,参照データ!$D$88:$K$117,5,0)),"")</f>
        <v/>
      </c>
      <c r="DN17" s="85" t="str">
        <f t="shared" si="9"/>
        <v/>
      </c>
      <c r="DO17" s="53" t="str">
        <f>IF(AND($AZ17&gt;=参照データ!$C$90,$AZ17&lt;=参照データ!$C$88),1,IF(AND($AZ17&gt;=参照データ!$C$93,$AZ17&lt;=参照データ!$C$91),2,IF(AND($AZ17&gt;=参照データ!$C$99,$AZ17&lt;=参照データ!$C$97),3,IF(AND($AZ17&gt;=参照データ!$C$105,$AZ17&lt;=参照データ!$C$103),4,IF(AND($AZ17&gt;=参照データ!$C$111,$AZ17&lt;=参照データ!$C$109),5,IF(AND($AZ17&gt;0,$AZ17&lt;=参照データ!$C$112),6,""))))))</f>
        <v/>
      </c>
      <c r="DP17" s="84" t="str">
        <f>IF($AF17="選手権",(VLOOKUP($DO17,参照データ!$D$88:$K$117,6,0)),"")</f>
        <v/>
      </c>
      <c r="DQ17" s="85" t="str">
        <f t="shared" si="10"/>
        <v/>
      </c>
      <c r="DR17" s="84" t="str">
        <f>IF($AH17="選手権",(VLOOKUP($DO17,参照データ!$D$88:$K$117,7,0)),"")</f>
        <v/>
      </c>
      <c r="DS17" s="85" t="str">
        <f t="shared" si="24"/>
        <v/>
      </c>
      <c r="DT17" s="33" t="str">
        <f t="shared" si="25"/>
        <v/>
      </c>
      <c r="DU17" s="32" t="str">
        <f t="shared" si="26"/>
        <v/>
      </c>
      <c r="DV17" s="85" t="str">
        <f t="shared" si="27"/>
        <v/>
      </c>
      <c r="DW17" s="733"/>
      <c r="DX17" s="91" t="s">
        <v>90</v>
      </c>
      <c r="DY17" s="92" t="str">
        <f t="shared" si="37"/>
        <v/>
      </c>
      <c r="DZ17" s="735"/>
      <c r="EA17" s="312" t="str">
        <f t="shared" ref="EA17" si="46">$EA16</f>
        <v/>
      </c>
      <c r="EC17" s="491" t="str">
        <f>IF($AR17="","",$AR17)</f>
        <v/>
      </c>
      <c r="EH17" s="35">
        <f>(COUNTIF($J17:$O17,"&lt;&gt;"))*参照データ!$E$3</f>
        <v>0</v>
      </c>
      <c r="EI17" s="219" t="str">
        <f>IF(P17="○",参照データ!$E$5,"")</f>
        <v/>
      </c>
      <c r="EJ17" s="219" t="str">
        <f>IF($Y17="○",参照データ!$E$4,"")</f>
        <v/>
      </c>
      <c r="EK17" s="18">
        <f>(SUM(COUNTIF($R17:$V17,{"入門","初級"}))*参照データ!$E$9)+(SUM(COUNTIF($R17:$V17,{"中級","上級"})*参照データ!$E$10))</f>
        <v>0</v>
      </c>
      <c r="EL17" s="18">
        <f>IFERROR(VLOOKUP($W17,参照データ!$D$9:$J$11,7,0),0)</f>
        <v>0</v>
      </c>
      <c r="EM17" s="18">
        <f>((COUNTIF($Z17:$AH17,"○"))*参照データ!$E$12)</f>
        <v>0</v>
      </c>
      <c r="EN17" s="18" t="str">
        <f>(IF($AJ17="○",参照データ!$J$12,""))</f>
        <v/>
      </c>
      <c r="EQ17" s="18">
        <f>((COUNTIF($Z17:$AH17,"選手権"))*参照データ!$E$13)</f>
        <v>0</v>
      </c>
      <c r="ER17" s="18" t="str">
        <f>(IF($AJ17="選手権",参照データ!$J$13,""))</f>
        <v/>
      </c>
      <c r="ES17" s="18">
        <f>(COUNTIF($AQ17:$AR17,"&lt;&gt;"))*参照データ!$H$3</f>
        <v>0</v>
      </c>
      <c r="ET17" s="18"/>
      <c r="EU17" s="18" t="str">
        <f>IF(AV17&lt;&gt;"",参照データ!$H$15,"")</f>
        <v/>
      </c>
      <c r="EV17" s="98" cm="1">
        <f t="array" ref="EV17">SUM(IF(ISERROR(EH17:EU17),0,(EH17:EU17)))</f>
        <v>0</v>
      </c>
      <c r="EW17" s="18"/>
      <c r="EX17" s="18">
        <f t="shared" si="11"/>
        <v>0</v>
      </c>
      <c r="EY17" s="18">
        <f t="shared" si="29"/>
        <v>0</v>
      </c>
      <c r="EZ17" s="18">
        <f t="shared" si="38"/>
        <v>0</v>
      </c>
      <c r="FA17" s="18">
        <f t="shared" si="30"/>
        <v>0</v>
      </c>
      <c r="FB17" s="18">
        <f t="shared" si="31"/>
        <v>0</v>
      </c>
      <c r="FC17" s="18">
        <f t="shared" si="32"/>
        <v>0</v>
      </c>
      <c r="FD17" s="18">
        <f t="shared" si="12"/>
        <v>0</v>
      </c>
      <c r="FE17" t="str">
        <f t="shared" si="33"/>
        <v/>
      </c>
    </row>
    <row r="18" spans="1:161" ht="18.75" customHeight="1" x14ac:dyDescent="0.2">
      <c r="A18">
        <v>7</v>
      </c>
      <c r="B18" s="14" t="str">
        <f>IF(D18="","",IF(D18="重複","",COUNTIF(B$12:$B17,"&gt;0")+1))</f>
        <v/>
      </c>
      <c r="C18" s="464"/>
      <c r="D18" s="177"/>
      <c r="E18" s="177"/>
      <c r="F18" s="31"/>
      <c r="G18" s="41"/>
      <c r="H18" s="351">
        <f t="shared" si="34"/>
        <v>0</v>
      </c>
      <c r="I18" s="193" t="str">
        <f>IF($AZ18=0,"",DATEDIF($AZ18,参照データ!$D$16,"Y"))</f>
        <v/>
      </c>
      <c r="J18" s="36"/>
      <c r="K18" s="36"/>
      <c r="L18" s="36"/>
      <c r="M18" s="36"/>
      <c r="N18" s="36"/>
      <c r="O18" s="42"/>
      <c r="P18" s="345"/>
      <c r="Q18" s="345"/>
      <c r="R18" s="43"/>
      <c r="S18" s="244"/>
      <c r="T18" s="244"/>
      <c r="U18" s="244"/>
      <c r="V18" s="245"/>
      <c r="W18" s="247"/>
      <c r="X18" s="250"/>
      <c r="Y18" s="345"/>
      <c r="Z18" s="388"/>
      <c r="AA18" s="346" t="str">
        <f>IF($Z18="○",VLOOKUP($CE18,参照データ!$D$65:$M$82,9,0),IF($Z18="選手権",VLOOKUP($DH18,参照データ!$D$88:$O$117,10,0),""))</f>
        <v/>
      </c>
      <c r="AB18" s="388"/>
      <c r="AC18" s="346" t="str">
        <f>IF($AB18="○",VLOOKUP($CE18,参照データ!$D$65:$M$82,10,0),IF($AB18="選手権",VLOOKUP($DH18,参照データ!$D$88:$O$117,11,0),""))</f>
        <v/>
      </c>
      <c r="AD18" s="388"/>
      <c r="AE18" s="346" t="str">
        <f>IF($AD18="○",VLOOKUP($CE18,参照データ!$D$65:$M$82,10,0),IF($AD18="選手権",VLOOKUP($DH18,参照データ!$D$88:$O$117,11,0),""))</f>
        <v/>
      </c>
      <c r="AF18" s="388"/>
      <c r="AG18" s="346" t="str">
        <f>IF($AF18="○",VLOOKUP($CE18,参照データ!$D$65:$M$82,10,0),IF($AF18="選手権",VLOOKUP($DO18,参照データ!$D$88:$O$117,12,0),""))</f>
        <v/>
      </c>
      <c r="AH18" s="388"/>
      <c r="AI18" s="346" t="str">
        <f>IF($AH18="○",VLOOKUP($CE18,参照データ!$D$65:$M$82,10,0),IF($AH18="選手権",VLOOKUP($DO18,参照データ!$D$88:$O$117,12,0),""))</f>
        <v/>
      </c>
      <c r="AJ18" s="388"/>
      <c r="AK18" s="511"/>
      <c r="AL18" s="346" t="str">
        <f t="shared" si="3"/>
        <v/>
      </c>
      <c r="AM18" s="392"/>
      <c r="AN18" s="391"/>
      <c r="AO18" s="391"/>
      <c r="AP18" s="447"/>
      <c r="AQ18" s="321"/>
      <c r="AR18" s="481"/>
      <c r="AS18" s="393"/>
      <c r="AT18" s="483"/>
      <c r="AU18" s="393"/>
      <c r="AV18" s="529"/>
      <c r="AW18" s="483"/>
      <c r="AY18" s="1" t="s">
        <v>146</v>
      </c>
      <c r="AZ18">
        <f t="shared" si="41"/>
        <v>0</v>
      </c>
      <c r="BA18" t="str">
        <f t="shared" si="35"/>
        <v/>
      </c>
      <c r="BB18" s="132"/>
      <c r="BD18" s="513" t="str">
        <f t="shared" si="4"/>
        <v/>
      </c>
      <c r="BE18" s="53" t="str">
        <f>IF($AZ18=0,"",IF(AND($I18&gt;=6,$I18&lt;=19),VLOOKUP($I18,参照データ!$B$24:$C$37,2,0),IF($I18&lt;6,6,19)))</f>
        <v/>
      </c>
      <c r="BF18" s="155" t="str">
        <f>IF($J18="○",VLOOKUP($BE18,参照データ!$C$24:$I$37,2,0),"")</f>
        <v/>
      </c>
      <c r="BG18" s="146" t="str">
        <f>IF($K18="○",VLOOKUP($BE18,参照データ!$C$24:$I$37,3,0),"")</f>
        <v/>
      </c>
      <c r="BH18" s="146" t="str">
        <f>IF($L18="○",VLOOKUP($BE18,参照データ!$C$24:$I$37,4,0),"")</f>
        <v/>
      </c>
      <c r="BI18" s="146" t="str">
        <f>IF($M18="○",VLOOKUP($BE18,参照データ!$C$24:$I$37,5,0),"")</f>
        <v/>
      </c>
      <c r="BJ18" s="146" t="str">
        <f>IF($N18="20日",VLOOKUP($BE18,参照データ!$C$24:$I$37,6,0),"")</f>
        <v/>
      </c>
      <c r="BK18" s="156" t="str">
        <f>IF($O18="20日",VLOOKUP($BE18,参照データ!$C$24:$I$37,7,0),"")</f>
        <v/>
      </c>
      <c r="BL18" s="155" t="str">
        <f>IF($J18="21日",VLOOKUP($BE18,参照データ!$C$24:$I$37,2,0),"")</f>
        <v/>
      </c>
      <c r="BM18" s="146" t="str">
        <f>IF($K18="21日",VLOOKUP($BE18,参照データ!$C$24:$I$37,3,0),"")</f>
        <v/>
      </c>
      <c r="BN18" s="146" t="str">
        <f>IF($L18="21日",VLOOKUP($BE18,参照データ!$C$24:$I$37,4,0),"")</f>
        <v/>
      </c>
      <c r="BO18" s="146" t="str">
        <f>IF($M18="21日",VLOOKUP($BE18,参照データ!$C$24:$I$37,5,0),"")</f>
        <v/>
      </c>
      <c r="BP18" s="146" t="str">
        <f>IF($N18="21日",VLOOKUP($BE18,参照データ!$C$24:$I$37,6,0),"")</f>
        <v/>
      </c>
      <c r="BQ18" s="156" t="str">
        <f>IF($O18="21日",VLOOKUP($BE18,参照データ!$C$24:$I$37,7,0),"")</f>
        <v/>
      </c>
      <c r="BR18" s="223" t="str">
        <f t="shared" si="42"/>
        <v/>
      </c>
      <c r="BS18" s="154" t="str">
        <f>IF($R18="入門",VLOOKUP($BE18,参照データ!$C$43:$U$56,2,0),IF($R18="初級",VLOOKUP($BE18,参照データ!$C$43:$U$56,3,0),IF($R18="中級",VLOOKUP($BE18,参照データ!$C$43:$U$56,4,0),IF($R18="上級",VLOOKUP($BE18,参照データ!$C$43:$U$56,5,0),""))))</f>
        <v/>
      </c>
      <c r="BT18" s="154" t="str">
        <f>IF($S18="初級",VLOOKUP($BE18,参照データ!$C$43:$U$56,6,0),IF($S18="中級",VLOOKUP($BE18,参照データ!$C$43:$U$56,7,0),IF($S18="上級",VLOOKUP($BE18,参照データ!$C$43:$U$56,8,0),"")))</f>
        <v/>
      </c>
      <c r="BU18" s="154" t="str">
        <f>IF($T18="初級",VLOOKUP($BE18,参照データ!$C$43:$U$56,9,0),IF($T18="上級",VLOOKUP($BE18,参照データ!$C$43:$U$56,10,0),""))</f>
        <v/>
      </c>
      <c r="BV18" s="154" t="str">
        <f>IF($U18="初級",VLOOKUP($BE18,参照データ!$C$43:$U$56,11,0),IF($U18="中級",VLOOKUP($BE18,参照データ!$C$43:$U$56,12,0),IF($U18="上級",VLOOKUP($BE18,参照データ!$C$43:$U$56,13,0),"")))</f>
        <v/>
      </c>
      <c r="BW18" s="154" t="str">
        <f>IF($V18="初級",VLOOKUP($BE18,参照データ!$C$43:$U$56,14,0),IF($V18="中級",VLOOKUP($BE18,参照データ!$C$43:$U$56,15,0),IF($V18="上級",VLOOKUP($BE18,参照データ!$C$43:$U$56,16,0),"")))</f>
        <v/>
      </c>
      <c r="BX18" s="47" t="str">
        <f t="shared" si="5"/>
        <v/>
      </c>
      <c r="BY18" s="47" t="str">
        <f>IF($W18="初級",VLOOKUP($BE18,参照データ!$C$43:$U$56,17,0),IF($W18="中級",VLOOKUP($BE18,参照データ!$C$43:$U$56,18,0),IF($W18="上級",VLOOKUP($BE18,参照データ!$C$43:$U$56,19,0),"")))</f>
        <v/>
      </c>
      <c r="BZ18" s="686">
        <v>4</v>
      </c>
      <c r="CA18" s="66" t="s">
        <v>230</v>
      </c>
      <c r="CB18" s="136" t="str">
        <f t="shared" si="13"/>
        <v/>
      </c>
      <c r="CC18" s="688" t="str">
        <f t="shared" ref="CC18" si="47">IF(OR($CB18="",$CB19=""),"",IF($CB18&gt;$CB19,$CB18,$CB19))</f>
        <v/>
      </c>
      <c r="CE18" s="53" t="str">
        <f>IF(AND($AZ18&gt;=参照データ!$C$67,$AZ18&lt;=参照データ!$C$65),1,IF(AND($AZ18&gt;=参照データ!$C$70,$AZ18&lt;=参照データ!$C$68),2,IF(AND($AZ18&gt;=参照データ!$C$73,$AZ18&lt;=参照データ!$C$71),3,IF(AND($AZ18&gt;=参照データ!$C$76,$AZ18&lt;=参照データ!$C$74),4,IF(AND($AZ18&gt;=参照データ!$C$79,$AZ18&lt;=参照データ!$C$77),5,IF(AND($AZ18&gt;0,$AZ18&lt;=参照データ!$C$80),6,""))))))</f>
        <v/>
      </c>
      <c r="CF18" s="141" t="str">
        <f>IF($Z18="○",(VLOOKUP($CE18,参照データ!$D$65:$J$82,2,0)),"")</f>
        <v/>
      </c>
      <c r="CG18" s="71" t="str">
        <f t="shared" si="14"/>
        <v/>
      </c>
      <c r="CH18" s="70" t="str">
        <f>IF($AB18="○",(VLOOKUP($CE18,参照データ!$D$65:$J$82,3,0)),"")</f>
        <v/>
      </c>
      <c r="CI18" s="71" t="str">
        <f t="shared" si="15"/>
        <v/>
      </c>
      <c r="CJ18" s="70" t="str">
        <f>IF($AD18="○",(VLOOKUP($CE18,参照データ!$D$65:$J$82,4,0)),"")</f>
        <v/>
      </c>
      <c r="CK18" s="71" t="str">
        <f t="shared" si="16"/>
        <v/>
      </c>
      <c r="CL18" s="70" t="str">
        <f>IF($AF18="○",(VLOOKUP($CE18,参照データ!$D$65:$J$82,5,0)),"")</f>
        <v/>
      </c>
      <c r="CM18" s="71" t="str">
        <f t="shared" si="6"/>
        <v/>
      </c>
      <c r="CN18" s="70" t="str">
        <f>IF($AH18="○",(VLOOKUP($CE18,参照データ!$D$65:$J$82,6,0)),"")</f>
        <v/>
      </c>
      <c r="CO18" s="71" t="str">
        <f t="shared" si="17"/>
        <v/>
      </c>
      <c r="CP18" s="33" t="str">
        <f t="shared" si="18"/>
        <v/>
      </c>
      <c r="CQ18" s="32" t="str">
        <f t="shared" si="19"/>
        <v/>
      </c>
      <c r="CR18" s="71" t="str">
        <f t="shared" si="20"/>
        <v/>
      </c>
      <c r="CS18" s="681">
        <v>4</v>
      </c>
      <c r="CT18" s="79" t="s">
        <v>91</v>
      </c>
      <c r="CU18" s="80" t="str">
        <f t="shared" si="21"/>
        <v/>
      </c>
      <c r="CV18" s="683" t="e">
        <f>IF($CU18&gt;$CU19,VLOOKUP($CU18,参照データ!$D$65:$J$82,7,0),VLOOKUP($CU19,参照データ!$D$65:$J$82,7,0))</f>
        <v>#N/A</v>
      </c>
      <c r="CW18" s="308" t="str">
        <f>IFERROR(VLOOKUP($CV18,参照データ!$J$65:$M$82,4,0),"")</f>
        <v/>
      </c>
      <c r="CX18" s="70"/>
      <c r="CY18" s="172" t="str">
        <f t="shared" si="22"/>
        <v/>
      </c>
      <c r="DA18" s="32"/>
      <c r="DB18" s="161" t="str">
        <f t="shared" si="23"/>
        <v/>
      </c>
      <c r="DC18" s="743">
        <v>4</v>
      </c>
      <c r="DD18" s="166" t="s">
        <v>91</v>
      </c>
      <c r="DE18" s="167" t="str">
        <f t="shared" si="44"/>
        <v/>
      </c>
      <c r="DF18" s="741" t="str">
        <f>IF(OR(DE18="",DE19=""),"",IF(DE18&gt;DE19,DE18,DE19))</f>
        <v/>
      </c>
      <c r="DG18" t="str">
        <f>IF($DH18="","",DATEDIF($AZ18,参照データ!$D$19,"Y"))</f>
        <v/>
      </c>
      <c r="DH18" s="253" t="str">
        <f>IFERROR(IF($BA18="男子",VLOOKUP($DO18,参照データ!$D$88:$E$117,2,0),$DO18),0)</f>
        <v/>
      </c>
      <c r="DI18" s="84" t="str">
        <f>IF($Z18="選手権",(VLOOKUP($DH18,参照データ!$D$88:$K$117,3,0)),"")</f>
        <v/>
      </c>
      <c r="DJ18" s="85" t="str">
        <f t="shared" si="7"/>
        <v/>
      </c>
      <c r="DK18" s="84" t="str">
        <f>IF($AB18="選手権",(VLOOKUP($DH18,参照データ!$D$88:$K$117,4,0)),"")</f>
        <v/>
      </c>
      <c r="DL18" s="85" t="str">
        <f t="shared" si="8"/>
        <v/>
      </c>
      <c r="DM18" s="84" t="str">
        <f>IF($AD18="選手権",(VLOOKUP($DH18,参照データ!$D$88:$K$117,5,0)),"")</f>
        <v/>
      </c>
      <c r="DN18" s="85" t="str">
        <f t="shared" si="9"/>
        <v/>
      </c>
      <c r="DO18" s="53" t="str">
        <f>IF(AND($AZ18&gt;=参照データ!$C$90,$AZ18&lt;=参照データ!$C$88),1,IF(AND($AZ18&gt;=参照データ!$C$93,$AZ18&lt;=参照データ!$C$91),2,IF(AND($AZ18&gt;=参照データ!$C$99,$AZ18&lt;=参照データ!$C$97),3,IF(AND($AZ18&gt;=参照データ!$C$105,$AZ18&lt;=参照データ!$C$103),4,IF(AND($AZ18&gt;=参照データ!$C$111,$AZ18&lt;=参照データ!$C$109),5,IF(AND($AZ18&gt;0,$AZ18&lt;=参照データ!$C$112),6,""))))))</f>
        <v/>
      </c>
      <c r="DP18" s="84" t="str">
        <f>IF($AF18="選手権",(VLOOKUP($DO18,参照データ!$D$88:$K$117,6,0)),"")</f>
        <v/>
      </c>
      <c r="DQ18" s="85" t="str">
        <f t="shared" si="10"/>
        <v/>
      </c>
      <c r="DR18" s="84" t="str">
        <f>IF($AH18="選手権",(VLOOKUP($DO18,参照データ!$D$88:$K$117,7,0)),"")</f>
        <v/>
      </c>
      <c r="DS18" s="85" t="str">
        <f t="shared" si="24"/>
        <v/>
      </c>
      <c r="DT18" s="33" t="str">
        <f t="shared" si="25"/>
        <v/>
      </c>
      <c r="DU18" s="32" t="str">
        <f t="shared" si="26"/>
        <v/>
      </c>
      <c r="DV18" s="85" t="str">
        <f t="shared" si="27"/>
        <v/>
      </c>
      <c r="DW18" s="736">
        <v>4</v>
      </c>
      <c r="DX18" s="93" t="s">
        <v>91</v>
      </c>
      <c r="DY18" s="94" t="str">
        <f t="shared" si="37"/>
        <v/>
      </c>
      <c r="DZ18" s="737" t="e">
        <f>IF($DY18&gt;$DY19,VLOOKUP($DY18,参照データ!$D$88:$K$117,8,0),VLOOKUP($DY19,参照データ!$D$88:$K$117,8,0))</f>
        <v>#N/A</v>
      </c>
      <c r="EA18" s="312" t="str">
        <f>IFERROR(VLOOKUP($DZ18,参照データ!$K$88:$O$117,5,0),"")</f>
        <v/>
      </c>
      <c r="EC18" s="491" t="str">
        <f t="shared" si="28"/>
        <v/>
      </c>
      <c r="EH18" s="35">
        <f>(COUNTIF($J18:$O18,"&lt;&gt;"))*参照データ!$E$3</f>
        <v>0</v>
      </c>
      <c r="EI18" s="219" t="str">
        <f>IF(P18="○",参照データ!$E$5,"")</f>
        <v/>
      </c>
      <c r="EJ18" s="219" t="str">
        <f>IF($Y18="○",参照データ!$E$4,"")</f>
        <v/>
      </c>
      <c r="EK18" s="18">
        <f>(SUM(COUNTIF($R18:$V18,{"入門","初級"}))*参照データ!$E$9)+(SUM(COUNTIF($R18:$V18,{"中級","上級"})*参照データ!$E$10))</f>
        <v>0</v>
      </c>
      <c r="EL18" s="18">
        <f>IFERROR(VLOOKUP($W18,参照データ!$D$9:$J$11,7,0),0)</f>
        <v>0</v>
      </c>
      <c r="EM18" s="18">
        <f>((COUNTIF($Z18:$AH18,"○"))*参照データ!$E$12)</f>
        <v>0</v>
      </c>
      <c r="EN18" s="18" t="str">
        <f>(IF($AJ18="○",参照データ!$J$12,""))</f>
        <v/>
      </c>
      <c r="EQ18" s="18">
        <f>((COUNTIF($Z18:$AH18,"選手権"))*参照データ!$E$13)</f>
        <v>0</v>
      </c>
      <c r="ER18" s="18" t="str">
        <f>(IF($AJ18="選手権",参照データ!$J$13,""))</f>
        <v/>
      </c>
      <c r="ES18" s="18">
        <f>(COUNTIF($AQ18:$AR18,"&lt;&gt;"))*参照データ!$H$3</f>
        <v>0</v>
      </c>
      <c r="ET18" s="18"/>
      <c r="EU18" s="18" t="str">
        <f>IF(AV18&lt;&gt;"",参照データ!$H$15,"")</f>
        <v/>
      </c>
      <c r="EV18" s="98" cm="1">
        <f t="array" ref="EV18">SUM(IF(ISERROR(EH18:EU18),0,(EH18:EU18)))</f>
        <v>0</v>
      </c>
      <c r="EW18" s="18"/>
      <c r="EX18" s="18">
        <f t="shared" si="11"/>
        <v>0</v>
      </c>
      <c r="EY18" s="18">
        <f t="shared" si="29"/>
        <v>0</v>
      </c>
      <c r="EZ18" s="18">
        <f t="shared" si="38"/>
        <v>0</v>
      </c>
      <c r="FA18" s="18">
        <f t="shared" si="30"/>
        <v>0</v>
      </c>
      <c r="FB18" s="18">
        <f t="shared" si="31"/>
        <v>0</v>
      </c>
      <c r="FC18" s="18">
        <f t="shared" si="32"/>
        <v>0</v>
      </c>
      <c r="FD18" s="18">
        <f t="shared" si="12"/>
        <v>0</v>
      </c>
      <c r="FE18" t="str">
        <f t="shared" si="33"/>
        <v/>
      </c>
    </row>
    <row r="19" spans="1:161" ht="18.75" customHeight="1" x14ac:dyDescent="0.2">
      <c r="A19">
        <v>8</v>
      </c>
      <c r="B19" s="14" t="str">
        <f>IF(D19="","",IF(D19="重複","",COUNTIF(B$12:$B18,"&gt;0")+1))</f>
        <v/>
      </c>
      <c r="C19" s="464"/>
      <c r="D19" s="177"/>
      <c r="E19" s="177"/>
      <c r="F19" s="31"/>
      <c r="G19" s="41"/>
      <c r="H19" s="351">
        <f t="shared" si="34"/>
        <v>0</v>
      </c>
      <c r="I19" s="193" t="str">
        <f>IF($AZ19=0,"",DATEDIF($AZ19,参照データ!$D$16,"Y"))</f>
        <v/>
      </c>
      <c r="J19" s="36"/>
      <c r="K19" s="36"/>
      <c r="L19" s="36"/>
      <c r="M19" s="36"/>
      <c r="N19" s="36"/>
      <c r="O19" s="42"/>
      <c r="P19" s="345"/>
      <c r="Q19" s="345"/>
      <c r="R19" s="43"/>
      <c r="S19" s="244"/>
      <c r="T19" s="244"/>
      <c r="U19" s="244"/>
      <c r="V19" s="245"/>
      <c r="W19" s="247"/>
      <c r="X19" s="250"/>
      <c r="Y19" s="345"/>
      <c r="Z19" s="388"/>
      <c r="AA19" s="346" t="str">
        <f>IF($Z19="○",VLOOKUP($CE19,参照データ!$D$65:$M$82,9,0),IF($Z19="選手権",VLOOKUP($DH19,参照データ!$D$88:$O$117,10,0),""))</f>
        <v/>
      </c>
      <c r="AB19" s="388"/>
      <c r="AC19" s="346" t="str">
        <f>IF($AB19="○",VLOOKUP($CE19,参照データ!$D$65:$M$82,10,0),IF($AB19="選手権",VLOOKUP($DH19,参照データ!$D$88:$O$117,11,0),""))</f>
        <v/>
      </c>
      <c r="AD19" s="388"/>
      <c r="AE19" s="346" t="str">
        <f>IF($AD19="○",VLOOKUP($CE19,参照データ!$D$65:$M$82,10,0),IF($AD19="選手権",VLOOKUP($DH19,参照データ!$D$88:$O$117,11,0),""))</f>
        <v/>
      </c>
      <c r="AF19" s="388"/>
      <c r="AG19" s="346" t="str">
        <f>IF($AF19="○",VLOOKUP($CE19,参照データ!$D$65:$M$82,10,0),IF($AF19="選手権",VLOOKUP($DO19,参照データ!$D$88:$O$117,12,0),""))</f>
        <v/>
      </c>
      <c r="AH19" s="388"/>
      <c r="AI19" s="346" t="str">
        <f>IF($AH19="○",VLOOKUP($CE19,参照データ!$D$65:$M$82,10,0),IF($AH19="選手権",VLOOKUP($DO19,参照データ!$D$88:$O$117,12,0),""))</f>
        <v/>
      </c>
      <c r="AJ19" s="388"/>
      <c r="AK19" s="511"/>
      <c r="AL19" s="346" t="str">
        <f t="shared" si="3"/>
        <v/>
      </c>
      <c r="AM19" s="392"/>
      <c r="AN19" s="391"/>
      <c r="AO19" s="391"/>
      <c r="AP19" s="447"/>
      <c r="AQ19" s="321"/>
      <c r="AR19" s="481"/>
      <c r="AS19" s="393"/>
      <c r="AT19" s="483"/>
      <c r="AU19" s="393"/>
      <c r="AV19" s="529"/>
      <c r="AW19" s="483"/>
      <c r="AY19" s="1" t="s">
        <v>148</v>
      </c>
      <c r="AZ19">
        <f t="shared" si="41"/>
        <v>0</v>
      </c>
      <c r="BA19" t="str">
        <f t="shared" si="35"/>
        <v/>
      </c>
      <c r="BB19" s="132"/>
      <c r="BD19" s="513" t="str">
        <f t="shared" si="4"/>
        <v/>
      </c>
      <c r="BE19" s="53" t="str">
        <f>IF($AZ19=0,"",IF(AND($I19&gt;=6,$I19&lt;=19),VLOOKUP($I19,参照データ!$B$24:$C$37,2,0),IF($I19&lt;6,6,19)))</f>
        <v/>
      </c>
      <c r="BF19" s="155" t="str">
        <f>IF($J19="○",VLOOKUP($BE19,参照データ!$C$24:$I$37,2,0),"")</f>
        <v/>
      </c>
      <c r="BG19" s="146" t="str">
        <f>IF($K19="○",VLOOKUP($BE19,参照データ!$C$24:$I$37,3,0),"")</f>
        <v/>
      </c>
      <c r="BH19" s="146" t="str">
        <f>IF($L19="○",VLOOKUP($BE19,参照データ!$C$24:$I$37,4,0),"")</f>
        <v/>
      </c>
      <c r="BI19" s="146" t="str">
        <f>IF($M19="○",VLOOKUP($BE19,参照データ!$C$24:$I$37,5,0),"")</f>
        <v/>
      </c>
      <c r="BJ19" s="146" t="str">
        <f>IF($N19="20日",VLOOKUP($BE19,参照データ!$C$24:$I$37,6,0),"")</f>
        <v/>
      </c>
      <c r="BK19" s="156" t="str">
        <f>IF($O19="20日",VLOOKUP($BE19,参照データ!$C$24:$I$37,7,0),"")</f>
        <v/>
      </c>
      <c r="BL19" s="155" t="str">
        <f>IF($J19="21日",VLOOKUP($BE19,参照データ!$C$24:$I$37,2,0),"")</f>
        <v/>
      </c>
      <c r="BM19" s="146" t="str">
        <f>IF($K19="21日",VLOOKUP($BE19,参照データ!$C$24:$I$37,3,0),"")</f>
        <v/>
      </c>
      <c r="BN19" s="146" t="str">
        <f>IF($L19="21日",VLOOKUP($BE19,参照データ!$C$24:$I$37,4,0),"")</f>
        <v/>
      </c>
      <c r="BO19" s="146" t="str">
        <f>IF($M19="21日",VLOOKUP($BE19,参照データ!$C$24:$I$37,5,0),"")</f>
        <v/>
      </c>
      <c r="BP19" s="146" t="str">
        <f>IF($N19="21日",VLOOKUP($BE19,参照データ!$C$24:$I$37,6,0),"")</f>
        <v/>
      </c>
      <c r="BQ19" s="156" t="str">
        <f>IF($O19="21日",VLOOKUP($BE19,参照データ!$C$24:$I$37,7,0),"")</f>
        <v/>
      </c>
      <c r="BR19" s="223" t="str">
        <f t="shared" si="42"/>
        <v/>
      </c>
      <c r="BS19" s="154" t="str">
        <f>IF($R19="入門",VLOOKUP($BE19,参照データ!$C$43:$U$56,2,0),IF($R19="初級",VLOOKUP($BE19,参照データ!$C$43:$U$56,3,0),IF($R19="中級",VLOOKUP($BE19,参照データ!$C$43:$U$56,4,0),IF($R19="上級",VLOOKUP($BE19,参照データ!$C$43:$U$56,5,0),""))))</f>
        <v/>
      </c>
      <c r="BT19" s="154" t="str">
        <f>IF($S19="初級",VLOOKUP($BE19,参照データ!$C$43:$U$56,6,0),IF($S19="中級",VLOOKUP($BE19,参照データ!$C$43:$U$56,7,0),IF($S19="上級",VLOOKUP($BE19,参照データ!$C$43:$U$56,8,0),"")))</f>
        <v/>
      </c>
      <c r="BU19" s="154" t="str">
        <f>IF($T19="初級",VLOOKUP($BE19,参照データ!$C$43:$U$56,9,0),IF($T19="上級",VLOOKUP($BE19,参照データ!$C$43:$U$56,10,0),""))</f>
        <v/>
      </c>
      <c r="BV19" s="154" t="str">
        <f>IF($U19="初級",VLOOKUP($BE19,参照データ!$C$43:$U$56,11,0),IF($U19="中級",VLOOKUP($BE19,参照データ!$C$43:$U$56,12,0),IF($U19="上級",VLOOKUP($BE19,参照データ!$C$43:$U$56,13,0),"")))</f>
        <v/>
      </c>
      <c r="BW19" s="154" t="str">
        <f>IF($V19="初級",VLOOKUP($BE19,参照データ!$C$43:$U$56,14,0),IF($V19="中級",VLOOKUP($BE19,参照データ!$C$43:$U$56,15,0),IF($V19="上級",VLOOKUP($BE19,参照データ!$C$43:$U$56,16,0),"")))</f>
        <v/>
      </c>
      <c r="BX19" s="47" t="str">
        <f t="shared" si="5"/>
        <v/>
      </c>
      <c r="BY19" s="47" t="str">
        <f>IF($W19="初級",VLOOKUP($BE19,参照データ!$C$43:$U$56,17,0),IF($W19="中級",VLOOKUP($BE19,参照データ!$C$43:$U$56,18,0),IF($W19="上級",VLOOKUP($BE19,参照データ!$C$43:$U$56,19,0),"")))</f>
        <v/>
      </c>
      <c r="BZ19" s="687"/>
      <c r="CA19" s="65" t="s">
        <v>231</v>
      </c>
      <c r="CB19" s="135" t="str">
        <f t="shared" si="13"/>
        <v/>
      </c>
      <c r="CC19" s="689"/>
      <c r="CE19" s="53" t="str">
        <f>IF(AND($AZ19&gt;=参照データ!$C$67,$AZ19&lt;=参照データ!$C$65),1,IF(AND($AZ19&gt;=参照データ!$C$70,$AZ19&lt;=参照データ!$C$68),2,IF(AND($AZ19&gt;=参照データ!$C$73,$AZ19&lt;=参照データ!$C$71),3,IF(AND($AZ19&gt;=参照データ!$C$76,$AZ19&lt;=参照データ!$C$74),4,IF(AND($AZ19&gt;=参照データ!$C$79,$AZ19&lt;=参照データ!$C$77),5,IF(AND($AZ19&gt;0,$AZ19&lt;=参照データ!$C$80),6,""))))))</f>
        <v/>
      </c>
      <c r="CF19" s="141" t="str">
        <f>IF($Z19="○",(VLOOKUP($CE19,参照データ!$D$65:$J$82,2,0)),"")</f>
        <v/>
      </c>
      <c r="CG19" s="71" t="str">
        <f t="shared" si="14"/>
        <v/>
      </c>
      <c r="CH19" s="70" t="str">
        <f>IF($AB19="○",(VLOOKUP($CE19,参照データ!$D$65:$J$82,3,0)),"")</f>
        <v/>
      </c>
      <c r="CI19" s="71" t="str">
        <f t="shared" si="15"/>
        <v/>
      </c>
      <c r="CJ19" s="70" t="str">
        <f>IF($AD19="○",(VLOOKUP($CE19,参照データ!$D$65:$J$82,4,0)),"")</f>
        <v/>
      </c>
      <c r="CK19" s="71" t="str">
        <f t="shared" si="16"/>
        <v/>
      </c>
      <c r="CL19" s="70" t="str">
        <f>IF($AF19="○",(VLOOKUP($CE19,参照データ!$D$65:$J$82,5,0)),"")</f>
        <v/>
      </c>
      <c r="CM19" s="71" t="str">
        <f t="shared" si="6"/>
        <v/>
      </c>
      <c r="CN19" s="70" t="str">
        <f>IF($AH19="○",(VLOOKUP($CE19,参照データ!$D$65:$J$82,6,0)),"")</f>
        <v/>
      </c>
      <c r="CO19" s="71" t="str">
        <f t="shared" si="17"/>
        <v/>
      </c>
      <c r="CP19" s="33" t="str">
        <f t="shared" si="18"/>
        <v/>
      </c>
      <c r="CQ19" s="32" t="str">
        <f t="shared" si="19"/>
        <v/>
      </c>
      <c r="CR19" s="71" t="str">
        <f t="shared" si="20"/>
        <v/>
      </c>
      <c r="CS19" s="682"/>
      <c r="CT19" s="77" t="s">
        <v>92</v>
      </c>
      <c r="CU19" s="78" t="str">
        <f t="shared" si="21"/>
        <v/>
      </c>
      <c r="CV19" s="684"/>
      <c r="CW19" s="308" t="str">
        <f t="shared" ref="CW19" si="48">$CW18</f>
        <v/>
      </c>
      <c r="CX19" s="70"/>
      <c r="CY19" s="172" t="str">
        <f t="shared" si="22"/>
        <v/>
      </c>
      <c r="DA19" s="32"/>
      <c r="DB19" s="161" t="str">
        <f t="shared" si="23"/>
        <v/>
      </c>
      <c r="DC19" s="744"/>
      <c r="DD19" s="164" t="s">
        <v>92</v>
      </c>
      <c r="DE19" s="165" t="str">
        <f t="shared" si="44"/>
        <v/>
      </c>
      <c r="DF19" s="742"/>
      <c r="DG19" t="str">
        <f>IF($DH19="","",DATEDIF($AZ19,参照データ!$D$19,"Y"))</f>
        <v/>
      </c>
      <c r="DH19" s="253" t="str">
        <f>IFERROR(IF($BA19="男子",VLOOKUP($DO19,参照データ!$D$88:$E$117,2,0),$DO19),0)</f>
        <v/>
      </c>
      <c r="DI19" s="84" t="str">
        <f>IF($Z19="選手権",(VLOOKUP($DH19,参照データ!$D$88:$K$117,3,0)),"")</f>
        <v/>
      </c>
      <c r="DJ19" s="85" t="str">
        <f t="shared" si="7"/>
        <v/>
      </c>
      <c r="DK19" s="84" t="str">
        <f>IF($AB19="選手権",(VLOOKUP($DH19,参照データ!$D$88:$K$117,4,0)),"")</f>
        <v/>
      </c>
      <c r="DL19" s="85" t="str">
        <f t="shared" si="8"/>
        <v/>
      </c>
      <c r="DM19" s="84" t="str">
        <f>IF($AD19="選手権",(VLOOKUP($DH19,参照データ!$D$88:$K$117,5,0)),"")</f>
        <v/>
      </c>
      <c r="DN19" s="85" t="str">
        <f t="shared" si="9"/>
        <v/>
      </c>
      <c r="DO19" s="53" t="str">
        <f>IF(AND($AZ19&gt;=参照データ!$C$90,$AZ19&lt;=参照データ!$C$88),1,IF(AND($AZ19&gt;=参照データ!$C$93,$AZ19&lt;=参照データ!$C$91),2,IF(AND($AZ19&gt;=参照データ!$C$99,$AZ19&lt;=参照データ!$C$97),3,IF(AND($AZ19&gt;=参照データ!$C$105,$AZ19&lt;=参照データ!$C$103),4,IF(AND($AZ19&gt;=参照データ!$C$111,$AZ19&lt;=参照データ!$C$109),5,IF(AND($AZ19&gt;0,$AZ19&lt;=参照データ!$C$112),6,""))))))</f>
        <v/>
      </c>
      <c r="DP19" s="84" t="str">
        <f>IF($AF19="選手権",(VLOOKUP($DO19,参照データ!$D$88:$K$117,6,0)),"")</f>
        <v/>
      </c>
      <c r="DQ19" s="85" t="str">
        <f t="shared" si="10"/>
        <v/>
      </c>
      <c r="DR19" s="84" t="str">
        <f>IF($AH19="選手権",(VLOOKUP($DO19,参照データ!$D$88:$K$117,7,0)),"")</f>
        <v/>
      </c>
      <c r="DS19" s="85" t="str">
        <f t="shared" si="24"/>
        <v/>
      </c>
      <c r="DT19" s="33" t="str">
        <f t="shared" si="25"/>
        <v/>
      </c>
      <c r="DU19" s="32" t="str">
        <f t="shared" si="26"/>
        <v/>
      </c>
      <c r="DV19" s="85" t="str">
        <f t="shared" si="27"/>
        <v/>
      </c>
      <c r="DW19" s="733"/>
      <c r="DX19" s="91" t="s">
        <v>92</v>
      </c>
      <c r="DY19" s="92" t="str">
        <f t="shared" si="37"/>
        <v/>
      </c>
      <c r="DZ19" s="735"/>
      <c r="EA19" s="312" t="str">
        <f t="shared" ref="EA19" si="49">$EA18</f>
        <v/>
      </c>
      <c r="EC19" s="491" t="str">
        <f t="shared" si="28"/>
        <v/>
      </c>
      <c r="EH19" s="35">
        <f>(COUNTIF($J19:$O19,"&lt;&gt;"))*参照データ!$E$3</f>
        <v>0</v>
      </c>
      <c r="EI19" s="219" t="str">
        <f>IF(P19="○",参照データ!$E$5,"")</f>
        <v/>
      </c>
      <c r="EJ19" s="219" t="str">
        <f>IF($Y19="○",参照データ!$E$4,"")</f>
        <v/>
      </c>
      <c r="EK19" s="18">
        <f>(SUM(COUNTIF($R19:$V19,{"入門","初級"}))*参照データ!$E$9)+(SUM(COUNTIF($R19:$V19,{"中級","上級"})*参照データ!$E$10))</f>
        <v>0</v>
      </c>
      <c r="EL19" s="18">
        <f>IFERROR(VLOOKUP($W19,参照データ!$D$9:$J$11,7,0),0)</f>
        <v>0</v>
      </c>
      <c r="EM19" s="18">
        <f>((COUNTIF($Z19:$AH19,"○"))*参照データ!$E$12)</f>
        <v>0</v>
      </c>
      <c r="EN19" s="18" t="str">
        <f>(IF($AJ19="○",参照データ!$J$12,""))</f>
        <v/>
      </c>
      <c r="EQ19" s="18">
        <f>((COUNTIF($Z19:$AH19,"選手権"))*参照データ!$E$13)</f>
        <v>0</v>
      </c>
      <c r="ER19" s="18" t="str">
        <f>(IF($AJ19="選手権",参照データ!$J$13,""))</f>
        <v/>
      </c>
      <c r="ES19" s="18">
        <f>(COUNTIF($AQ19:$AR19,"&lt;&gt;"))*参照データ!$H$3</f>
        <v>0</v>
      </c>
      <c r="ET19" s="18"/>
      <c r="EU19" s="18" t="str">
        <f>IF(AV19&lt;&gt;"",参照データ!$H$15,"")</f>
        <v/>
      </c>
      <c r="EV19" s="98" cm="1">
        <f t="array" ref="EV19">SUM(IF(ISERROR(EH19:EU19),0,(EH19:EU19)))</f>
        <v>0</v>
      </c>
      <c r="EW19" s="18"/>
      <c r="EX19" s="18">
        <f t="shared" si="11"/>
        <v>0</v>
      </c>
      <c r="EY19" s="18">
        <f t="shared" si="29"/>
        <v>0</v>
      </c>
      <c r="EZ19" s="18">
        <f t="shared" si="38"/>
        <v>0</v>
      </c>
      <c r="FA19" s="18">
        <f t="shared" si="30"/>
        <v>0</v>
      </c>
      <c r="FB19" s="18">
        <f t="shared" si="31"/>
        <v>0</v>
      </c>
      <c r="FC19" s="18">
        <f t="shared" si="32"/>
        <v>0</v>
      </c>
      <c r="FD19" s="18">
        <f t="shared" si="12"/>
        <v>0</v>
      </c>
      <c r="FE19" t="str">
        <f t="shared" si="33"/>
        <v/>
      </c>
    </row>
    <row r="20" spans="1:161" ht="18.75" customHeight="1" x14ac:dyDescent="0.2">
      <c r="A20">
        <v>9</v>
      </c>
      <c r="B20" s="14" t="str">
        <f>IF(D20="","",IF(D20="重複","",COUNTIF(B$12:$B19,"&gt;0")+1))</f>
        <v/>
      </c>
      <c r="C20" s="464"/>
      <c r="D20" s="177"/>
      <c r="E20" s="177"/>
      <c r="F20" s="31"/>
      <c r="G20" s="41"/>
      <c r="H20" s="351">
        <f t="shared" si="34"/>
        <v>0</v>
      </c>
      <c r="I20" s="193" t="str">
        <f>IF($AZ20=0,"",DATEDIF($AZ20,参照データ!$D$16,"Y"))</f>
        <v/>
      </c>
      <c r="J20" s="36"/>
      <c r="K20" s="36"/>
      <c r="L20" s="36"/>
      <c r="M20" s="36"/>
      <c r="N20" s="36"/>
      <c r="O20" s="42"/>
      <c r="P20" s="345"/>
      <c r="Q20" s="345"/>
      <c r="R20" s="43"/>
      <c r="S20" s="244"/>
      <c r="T20" s="244"/>
      <c r="U20" s="244"/>
      <c r="V20" s="245"/>
      <c r="W20" s="247"/>
      <c r="X20" s="250"/>
      <c r="Y20" s="345"/>
      <c r="Z20" s="388"/>
      <c r="AA20" s="346" t="str">
        <f>IF($Z20="○",VLOOKUP($CE20,参照データ!$D$65:$M$82,9,0),IF($Z20="選手権",VLOOKUP($DH20,参照データ!$D$88:$O$117,10,0),""))</f>
        <v/>
      </c>
      <c r="AB20" s="388"/>
      <c r="AC20" s="346" t="str">
        <f>IF($AB20="○",VLOOKUP($CE20,参照データ!$D$65:$M$82,10,0),IF($AB20="選手権",VLOOKUP($DH20,参照データ!$D$88:$O$117,11,0),""))</f>
        <v/>
      </c>
      <c r="AD20" s="388"/>
      <c r="AE20" s="346" t="str">
        <f>IF($AD20="○",VLOOKUP($CE20,参照データ!$D$65:$M$82,10,0),IF($AD20="選手権",VLOOKUP($DH20,参照データ!$D$88:$O$117,11,0),""))</f>
        <v/>
      </c>
      <c r="AF20" s="388"/>
      <c r="AG20" s="346" t="str">
        <f>IF($AF20="○",VLOOKUP($CE20,参照データ!$D$65:$M$82,10,0),IF($AF20="選手権",VLOOKUP($DO20,参照データ!$D$88:$O$117,12,0),""))</f>
        <v/>
      </c>
      <c r="AH20" s="388"/>
      <c r="AI20" s="346" t="str">
        <f>IF($AH20="○",VLOOKUP($CE20,参照データ!$D$65:$M$82,10,0),IF($AH20="選手権",VLOOKUP($DO20,参照データ!$D$88:$O$117,12,0),""))</f>
        <v/>
      </c>
      <c r="AJ20" s="388"/>
      <c r="AK20" s="511"/>
      <c r="AL20" s="346" t="str">
        <f t="shared" si="3"/>
        <v/>
      </c>
      <c r="AM20" s="392"/>
      <c r="AN20" s="391"/>
      <c r="AO20" s="391"/>
      <c r="AP20" s="447"/>
      <c r="AQ20" s="321"/>
      <c r="AR20" s="481"/>
      <c r="AS20" s="393"/>
      <c r="AT20" s="483"/>
      <c r="AU20" s="393"/>
      <c r="AV20" s="529"/>
      <c r="AW20" s="483"/>
      <c r="AY20" s="1" t="s">
        <v>881</v>
      </c>
      <c r="AZ20">
        <f t="shared" ref="AZ20:AZ71" si="50">IF($D20="重複",VALUE($G19),VALUE($G20))</f>
        <v>0</v>
      </c>
      <c r="BA20" t="str">
        <f t="shared" si="35"/>
        <v/>
      </c>
      <c r="BB20" s="132"/>
      <c r="BD20" s="513" t="str">
        <f t="shared" si="4"/>
        <v/>
      </c>
      <c r="BE20" s="53" t="str">
        <f>IF($AZ20=0,"",IF(AND($I20&gt;=6,$I20&lt;=19),VLOOKUP($I20,参照データ!$B$24:$C$37,2,0),IF($I20&lt;6,6,19)))</f>
        <v/>
      </c>
      <c r="BF20" s="155" t="str">
        <f>IF($J20="○",VLOOKUP($BE20,参照データ!$C$24:$I$37,2,0),"")</f>
        <v/>
      </c>
      <c r="BG20" s="146" t="str">
        <f>IF($K20="○",VLOOKUP($BE20,参照データ!$C$24:$I$37,3,0),"")</f>
        <v/>
      </c>
      <c r="BH20" s="146" t="str">
        <f>IF($L20="○",VLOOKUP($BE20,参照データ!$C$24:$I$37,4,0),"")</f>
        <v/>
      </c>
      <c r="BI20" s="146" t="str">
        <f>IF($M20="○",VLOOKUP($BE20,参照データ!$C$24:$I$37,5,0),"")</f>
        <v/>
      </c>
      <c r="BJ20" s="146" t="str">
        <f>IF($N20="20日",VLOOKUP($BE20,参照データ!$C$24:$I$37,6,0),"")</f>
        <v/>
      </c>
      <c r="BK20" s="156" t="str">
        <f>IF($O20="20日",VLOOKUP($BE20,参照データ!$C$24:$I$37,7,0),"")</f>
        <v/>
      </c>
      <c r="BL20" s="155" t="str">
        <f>IF($J20="21日",VLOOKUP($BE20,参照データ!$C$24:$I$37,2,0),"")</f>
        <v/>
      </c>
      <c r="BM20" s="146" t="str">
        <f>IF($K20="21日",VLOOKUP($BE20,参照データ!$C$24:$I$37,3,0),"")</f>
        <v/>
      </c>
      <c r="BN20" s="146" t="str">
        <f>IF($L20="21日",VLOOKUP($BE20,参照データ!$C$24:$I$37,4,0),"")</f>
        <v/>
      </c>
      <c r="BO20" s="146" t="str">
        <f>IF($M20="21日",VLOOKUP($BE20,参照データ!$C$24:$I$37,5,0),"")</f>
        <v/>
      </c>
      <c r="BP20" s="146" t="str">
        <f>IF($N20="21日",VLOOKUP($BE20,参照データ!$C$24:$I$37,6,0),"")</f>
        <v/>
      </c>
      <c r="BQ20" s="156" t="str">
        <f>IF($O20="21日",VLOOKUP($BE20,参照データ!$C$24:$I$37,7,0),"")</f>
        <v/>
      </c>
      <c r="BR20" s="223" t="str">
        <f t="shared" si="42"/>
        <v/>
      </c>
      <c r="BS20" s="154" t="str">
        <f>IF($R20="入門",VLOOKUP($BE20,参照データ!$C$43:$U$56,2,0),IF($R20="初級",VLOOKUP($BE20,参照データ!$C$43:$U$56,3,0),IF($R20="中級",VLOOKUP($BE20,参照データ!$C$43:$U$56,4,0),IF($R20="上級",VLOOKUP($BE20,参照データ!$C$43:$U$56,5,0),""))))</f>
        <v/>
      </c>
      <c r="BT20" s="154" t="str">
        <f>IF($S20="初級",VLOOKUP($BE20,参照データ!$C$43:$U$56,6,0),IF($S20="中級",VLOOKUP($BE20,参照データ!$C$43:$U$56,7,0),IF($S20="上級",VLOOKUP($BE20,参照データ!$C$43:$U$56,8,0),"")))</f>
        <v/>
      </c>
      <c r="BU20" s="154" t="str">
        <f>IF($T20="初級",VLOOKUP($BE20,参照データ!$C$43:$U$56,9,0),IF($T20="上級",VLOOKUP($BE20,参照データ!$C$43:$U$56,10,0),""))</f>
        <v/>
      </c>
      <c r="BV20" s="154" t="str">
        <f>IF($U20="初級",VLOOKUP($BE20,参照データ!$C$43:$U$56,11,0),IF($U20="中級",VLOOKUP($BE20,参照データ!$C$43:$U$56,12,0),IF($U20="上級",VLOOKUP($BE20,参照データ!$C$43:$U$56,13,0),"")))</f>
        <v/>
      </c>
      <c r="BW20" s="154" t="str">
        <f>IF($V20="初級",VLOOKUP($BE20,参照データ!$C$43:$U$56,14,0),IF($V20="中級",VLOOKUP($BE20,参照データ!$C$43:$U$56,15,0),IF($V20="上級",VLOOKUP($BE20,参照データ!$C$43:$U$56,16,0),"")))</f>
        <v/>
      </c>
      <c r="BX20" s="47" t="str">
        <f t="shared" si="5"/>
        <v/>
      </c>
      <c r="BY20" s="47" t="str">
        <f>IF($W20="初級",VLOOKUP($BE20,参照データ!$C$43:$U$56,17,0),IF($W20="中級",VLOOKUP($BE20,参照データ!$C$43:$U$56,18,0),IF($W20="上級",VLOOKUP($BE20,参照データ!$C$43:$U$56,19,0),"")))</f>
        <v/>
      </c>
      <c r="BZ20" s="686">
        <v>5</v>
      </c>
      <c r="CA20" s="66" t="s">
        <v>232</v>
      </c>
      <c r="CB20" s="136" t="str">
        <f t="shared" si="13"/>
        <v/>
      </c>
      <c r="CC20" s="688" t="str">
        <f t="shared" ref="CC20" si="51">IF(OR($CB20="",$CB21=""),"",IF($CB20&gt;$CB21,$CB20,$CB21))</f>
        <v/>
      </c>
      <c r="CE20" s="53" t="str">
        <f>IF(AND($AZ20&gt;=参照データ!$C$67,$AZ20&lt;=参照データ!$C$65),1,IF(AND($AZ20&gt;=参照データ!$C$70,$AZ20&lt;=参照データ!$C$68),2,IF(AND($AZ20&gt;=参照データ!$C$73,$AZ20&lt;=参照データ!$C$71),3,IF(AND($AZ20&gt;=参照データ!$C$76,$AZ20&lt;=参照データ!$C$74),4,IF(AND($AZ20&gt;=参照データ!$C$79,$AZ20&lt;=参照データ!$C$77),5,IF(AND($AZ20&gt;0,$AZ20&lt;=参照データ!$C$80),6,""))))))</f>
        <v/>
      </c>
      <c r="CF20" s="141" t="str">
        <f>IF($Z20="○",(VLOOKUP($CE20,参照データ!$D$65:$J$82,2,0)),"")</f>
        <v/>
      </c>
      <c r="CG20" s="71" t="str">
        <f t="shared" si="14"/>
        <v/>
      </c>
      <c r="CH20" s="70" t="str">
        <f>IF($AB20="○",(VLOOKUP($CE20,参照データ!$D$65:$J$82,3,0)),"")</f>
        <v/>
      </c>
      <c r="CI20" s="71" t="str">
        <f t="shared" si="15"/>
        <v/>
      </c>
      <c r="CJ20" s="70" t="str">
        <f>IF($AD20="○",(VLOOKUP($CE20,参照データ!$D$65:$J$82,4,0)),"")</f>
        <v/>
      </c>
      <c r="CK20" s="71" t="str">
        <f t="shared" si="16"/>
        <v/>
      </c>
      <c r="CL20" s="70" t="str">
        <f>IF($AF20="○",(VLOOKUP($CE20,参照データ!$D$65:$J$82,5,0)),"")</f>
        <v/>
      </c>
      <c r="CM20" s="71" t="str">
        <f t="shared" si="6"/>
        <v/>
      </c>
      <c r="CN20" s="70" t="str">
        <f>IF($AH20="○",(VLOOKUP($CE20,参照データ!$D$65:$J$82,6,0)),"")</f>
        <v/>
      </c>
      <c r="CO20" s="71" t="str">
        <f t="shared" si="17"/>
        <v/>
      </c>
      <c r="CP20" s="33" t="str">
        <f t="shared" si="18"/>
        <v/>
      </c>
      <c r="CQ20" s="32" t="str">
        <f t="shared" si="19"/>
        <v/>
      </c>
      <c r="CR20" s="71" t="str">
        <f t="shared" si="20"/>
        <v/>
      </c>
      <c r="CS20" s="681">
        <v>5</v>
      </c>
      <c r="CT20" s="79" t="s">
        <v>93</v>
      </c>
      <c r="CU20" s="80" t="str">
        <f t="shared" si="21"/>
        <v/>
      </c>
      <c r="CV20" s="683" t="e">
        <f>IF($CU20&gt;$CU21,VLOOKUP($CU20,参照データ!$D$65:$J$82,7,0),VLOOKUP($CU21,参照データ!$D$65:$J$82,7,0))</f>
        <v>#N/A</v>
      </c>
      <c r="CW20" s="308" t="str">
        <f>IFERROR(VLOOKUP($CV20,参照データ!$J$65:$M$82,4,0),"")</f>
        <v/>
      </c>
      <c r="CX20" s="70"/>
      <c r="CY20" s="172" t="str">
        <f t="shared" si="22"/>
        <v/>
      </c>
      <c r="DA20" s="32"/>
      <c r="DB20" s="161" t="str">
        <f t="shared" si="23"/>
        <v/>
      </c>
      <c r="DC20" s="743">
        <v>5</v>
      </c>
      <c r="DD20" s="166" t="s">
        <v>93</v>
      </c>
      <c r="DE20" s="167" t="str">
        <f t="shared" si="44"/>
        <v/>
      </c>
      <c r="DF20" s="741" t="str">
        <f>IF(OR(DE20="",DE21=""),"",IF(DE20&gt;DE21,DE20,DE21))</f>
        <v/>
      </c>
      <c r="DG20" t="str">
        <f>IF($DH20="","",DATEDIF($AZ20,参照データ!$D$19,"Y"))</f>
        <v/>
      </c>
      <c r="DH20" s="253" t="str">
        <f>IFERROR(IF($BA20="男子",VLOOKUP($DO20,参照データ!$D$88:$E$117,2,0),$DO20),0)</f>
        <v/>
      </c>
      <c r="DI20" s="84" t="str">
        <f>IF($Z20="選手権",(VLOOKUP($DH20,参照データ!$D$88:$K$117,3,0)),"")</f>
        <v/>
      </c>
      <c r="DJ20" s="85" t="str">
        <f t="shared" si="7"/>
        <v/>
      </c>
      <c r="DK20" s="84" t="str">
        <f>IF($AB20="選手権",(VLOOKUP($DH20,参照データ!$D$88:$K$117,4,0)),"")</f>
        <v/>
      </c>
      <c r="DL20" s="85" t="str">
        <f t="shared" si="8"/>
        <v/>
      </c>
      <c r="DM20" s="84" t="str">
        <f>IF($AD20="選手権",(VLOOKUP($DH20,参照データ!$D$88:$K$117,5,0)),"")</f>
        <v/>
      </c>
      <c r="DN20" s="85" t="str">
        <f t="shared" si="9"/>
        <v/>
      </c>
      <c r="DO20" s="53" t="str">
        <f>IF(AND($AZ20&gt;=参照データ!$C$90,$AZ20&lt;=参照データ!$C$88),1,IF(AND($AZ20&gt;=参照データ!$C$93,$AZ20&lt;=参照データ!$C$91),2,IF(AND($AZ20&gt;=参照データ!$C$99,$AZ20&lt;=参照データ!$C$97),3,IF(AND($AZ20&gt;=参照データ!$C$105,$AZ20&lt;=参照データ!$C$103),4,IF(AND($AZ20&gt;=参照データ!$C$111,$AZ20&lt;=参照データ!$C$109),5,IF(AND($AZ20&gt;0,$AZ20&lt;=参照データ!$C$112),6,""))))))</f>
        <v/>
      </c>
      <c r="DP20" s="84" t="str">
        <f>IF($AF20="選手権",(VLOOKUP($DO20,参照データ!$D$88:$K$117,6,0)),"")</f>
        <v/>
      </c>
      <c r="DQ20" s="85" t="str">
        <f t="shared" si="10"/>
        <v/>
      </c>
      <c r="DR20" s="84" t="str">
        <f>IF($AH20="選手権",(VLOOKUP($DO20,参照データ!$D$88:$K$117,7,0)),"")</f>
        <v/>
      </c>
      <c r="DS20" s="85" t="str">
        <f t="shared" si="24"/>
        <v/>
      </c>
      <c r="DT20" s="33" t="str">
        <f t="shared" si="25"/>
        <v/>
      </c>
      <c r="DU20" s="32" t="str">
        <f t="shared" si="26"/>
        <v/>
      </c>
      <c r="DV20" s="85" t="str">
        <f t="shared" si="27"/>
        <v/>
      </c>
      <c r="DW20" s="736">
        <v>5</v>
      </c>
      <c r="DX20" s="93" t="s">
        <v>93</v>
      </c>
      <c r="DY20" s="94" t="str">
        <f t="shared" si="37"/>
        <v/>
      </c>
      <c r="DZ20" s="737" t="e">
        <f>IF($DY20&gt;$DY21,VLOOKUP($DY20,参照データ!$D$88:$K$117,8,0),VLOOKUP($DY21,参照データ!$D$88:$K$117,8,0))</f>
        <v>#N/A</v>
      </c>
      <c r="EA20" s="312" t="str">
        <f>IFERROR(VLOOKUP($DZ20,参照データ!$K$88:$O$117,5,0),"")</f>
        <v/>
      </c>
      <c r="EC20" s="491" t="str">
        <f t="shared" si="28"/>
        <v/>
      </c>
      <c r="EH20" s="35">
        <f>(COUNTIF($J20:$O20,"&lt;&gt;"))*参照データ!$E$3</f>
        <v>0</v>
      </c>
      <c r="EI20" s="219" t="str">
        <f>IF(P20="○",参照データ!$E$5,"")</f>
        <v/>
      </c>
      <c r="EJ20" s="219" t="str">
        <f>IF($Y20="○",参照データ!$E$4,"")</f>
        <v/>
      </c>
      <c r="EK20" s="18">
        <f>(SUM(COUNTIF($R20:$V20,{"入門","初級"}))*参照データ!$E$9)+(SUM(COUNTIF($R20:$V20,{"中級","上級"})*参照データ!$E$10))</f>
        <v>0</v>
      </c>
      <c r="EL20" s="18">
        <f>IFERROR(VLOOKUP($W20,参照データ!$D$9:$J$11,7,0),0)</f>
        <v>0</v>
      </c>
      <c r="EM20" s="18">
        <f>((COUNTIF($Z20:$AH20,"○"))*参照データ!$E$12)</f>
        <v>0</v>
      </c>
      <c r="EN20" s="18" t="str">
        <f>(IF($AJ20="○",参照データ!$J$12,""))</f>
        <v/>
      </c>
      <c r="EQ20" s="18">
        <f>((COUNTIF($Z20:$AH20,"選手権"))*参照データ!$E$13)</f>
        <v>0</v>
      </c>
      <c r="ER20" s="18" t="str">
        <f>(IF($AJ20="選手権",参照データ!$J$13,""))</f>
        <v/>
      </c>
      <c r="ES20" s="18">
        <f>(COUNTIF($AQ20:$AR20,"&lt;&gt;"))*参照データ!$H$3</f>
        <v>0</v>
      </c>
      <c r="ET20" s="18"/>
      <c r="EU20" s="18" t="str">
        <f>IF(AV20&lt;&gt;"",参照データ!$H$15,"")</f>
        <v/>
      </c>
      <c r="EV20" s="98" cm="1">
        <f t="array" ref="EV20">SUM(IF(ISERROR(EH20:EU20),0,(EH20:EU20)))</f>
        <v>0</v>
      </c>
      <c r="EW20" s="18"/>
      <c r="EX20" s="18">
        <f t="shared" si="11"/>
        <v>0</v>
      </c>
      <c r="EY20" s="18">
        <f t="shared" si="29"/>
        <v>0</v>
      </c>
      <c r="EZ20" s="18">
        <f t="shared" si="38"/>
        <v>0</v>
      </c>
      <c r="FA20" s="18">
        <f t="shared" si="30"/>
        <v>0</v>
      </c>
      <c r="FB20" s="18">
        <f t="shared" si="31"/>
        <v>0</v>
      </c>
      <c r="FC20" s="18">
        <f t="shared" si="32"/>
        <v>0</v>
      </c>
      <c r="FD20" s="18">
        <f t="shared" si="12"/>
        <v>0</v>
      </c>
      <c r="FE20" t="str">
        <f t="shared" si="33"/>
        <v/>
      </c>
    </row>
    <row r="21" spans="1:161" ht="18.75" customHeight="1" x14ac:dyDescent="0.2">
      <c r="A21">
        <v>10</v>
      </c>
      <c r="B21" s="14" t="str">
        <f>IF(D21="","",IF(D21="重複","",COUNTIF(B$12:$B20,"&gt;0")+1))</f>
        <v/>
      </c>
      <c r="C21" s="464"/>
      <c r="D21" s="177"/>
      <c r="E21" s="177"/>
      <c r="F21" s="31"/>
      <c r="G21" s="41"/>
      <c r="H21" s="351">
        <f t="shared" si="34"/>
        <v>0</v>
      </c>
      <c r="I21" s="193" t="str">
        <f>IF($AZ21=0,"",DATEDIF($AZ21,参照データ!$D$16,"Y"))</f>
        <v/>
      </c>
      <c r="J21" s="36"/>
      <c r="K21" s="36"/>
      <c r="L21" s="36"/>
      <c r="M21" s="36"/>
      <c r="N21" s="36"/>
      <c r="O21" s="42"/>
      <c r="P21" s="345"/>
      <c r="Q21" s="345"/>
      <c r="R21" s="43"/>
      <c r="S21" s="244"/>
      <c r="T21" s="244"/>
      <c r="U21" s="244"/>
      <c r="V21" s="245"/>
      <c r="W21" s="247"/>
      <c r="X21" s="250"/>
      <c r="Y21" s="345"/>
      <c r="Z21" s="388"/>
      <c r="AA21" s="346" t="str">
        <f>IF($Z21="○",VLOOKUP($CE21,参照データ!$D$65:$M$82,9,0),IF($Z21="選手権",VLOOKUP($DH21,参照データ!$D$88:$O$117,10,0),""))</f>
        <v/>
      </c>
      <c r="AB21" s="388"/>
      <c r="AC21" s="346" t="str">
        <f>IF($AB21="○",VLOOKUP($CE21,参照データ!$D$65:$M$82,10,0),IF($AB21="選手権",VLOOKUP($DH21,参照データ!$D$88:$O$117,11,0),""))</f>
        <v/>
      </c>
      <c r="AD21" s="388"/>
      <c r="AE21" s="346" t="str">
        <f>IF($AD21="○",VLOOKUP($CE21,参照データ!$D$65:$M$82,10,0),IF($AD21="選手権",VLOOKUP($DH21,参照データ!$D$88:$O$117,11,0),""))</f>
        <v/>
      </c>
      <c r="AF21" s="388"/>
      <c r="AG21" s="346" t="str">
        <f>IF($AF21="○",VLOOKUP($CE21,参照データ!$D$65:$M$82,10,0),IF($AF21="選手権",VLOOKUP($DO21,参照データ!$D$88:$O$117,12,0),""))</f>
        <v/>
      </c>
      <c r="AH21" s="388"/>
      <c r="AI21" s="346" t="str">
        <f>IF($AH21="○",VLOOKUP($CE21,参照データ!$D$65:$M$82,10,0),IF($AH21="選手権",VLOOKUP($DO21,参照データ!$D$88:$O$117,12,0),""))</f>
        <v/>
      </c>
      <c r="AJ21" s="388"/>
      <c r="AK21" s="511"/>
      <c r="AL21" s="346" t="str">
        <f t="shared" si="3"/>
        <v/>
      </c>
      <c r="AM21" s="392"/>
      <c r="AN21" s="391"/>
      <c r="AO21" s="391"/>
      <c r="AP21" s="447"/>
      <c r="AQ21" s="321"/>
      <c r="AR21" s="481"/>
      <c r="AS21" s="393"/>
      <c r="AT21" s="483"/>
      <c r="AU21" s="393"/>
      <c r="AV21" s="529"/>
      <c r="AW21" s="483"/>
      <c r="AY21" s="1" t="s">
        <v>669</v>
      </c>
      <c r="AZ21">
        <f t="shared" si="50"/>
        <v>0</v>
      </c>
      <c r="BA21" t="str">
        <f t="shared" si="35"/>
        <v/>
      </c>
      <c r="BB21" s="132"/>
      <c r="BD21" s="513" t="str">
        <f t="shared" si="4"/>
        <v/>
      </c>
      <c r="BE21" s="53" t="str">
        <f>IF($AZ21=0,"",IF(AND($I21&gt;=6,$I21&lt;=19),VLOOKUP($I21,参照データ!$B$24:$C$37,2,0),IF($I21&lt;6,6,19)))</f>
        <v/>
      </c>
      <c r="BF21" s="155" t="str">
        <f>IF($J21="○",VLOOKUP($BE21,参照データ!$C$24:$I$37,2,0),"")</f>
        <v/>
      </c>
      <c r="BG21" s="146" t="str">
        <f>IF($K21="○",VLOOKUP($BE21,参照データ!$C$24:$I$37,3,0),"")</f>
        <v/>
      </c>
      <c r="BH21" s="146" t="str">
        <f>IF($L21="○",VLOOKUP($BE21,参照データ!$C$24:$I$37,4,0),"")</f>
        <v/>
      </c>
      <c r="BI21" s="146" t="str">
        <f>IF($M21="○",VLOOKUP($BE21,参照データ!$C$24:$I$37,5,0),"")</f>
        <v/>
      </c>
      <c r="BJ21" s="146" t="str">
        <f>IF($N21="20日",VLOOKUP($BE21,参照データ!$C$24:$I$37,6,0),"")</f>
        <v/>
      </c>
      <c r="BK21" s="156" t="str">
        <f>IF($O21="20日",VLOOKUP($BE21,参照データ!$C$24:$I$37,7,0),"")</f>
        <v/>
      </c>
      <c r="BL21" s="155" t="str">
        <f>IF($J21="21日",VLOOKUP($BE21,参照データ!$C$24:$I$37,2,0),"")</f>
        <v/>
      </c>
      <c r="BM21" s="146" t="str">
        <f>IF($K21="21日",VLOOKUP($BE21,参照データ!$C$24:$I$37,3,0),"")</f>
        <v/>
      </c>
      <c r="BN21" s="146" t="str">
        <f>IF($L21="21日",VLOOKUP($BE21,参照データ!$C$24:$I$37,4,0),"")</f>
        <v/>
      </c>
      <c r="BO21" s="146" t="str">
        <f>IF($M21="21日",VLOOKUP($BE21,参照データ!$C$24:$I$37,5,0),"")</f>
        <v/>
      </c>
      <c r="BP21" s="146" t="str">
        <f>IF($N21="21日",VLOOKUP($BE21,参照データ!$C$24:$I$37,6,0),"")</f>
        <v/>
      </c>
      <c r="BQ21" s="156" t="str">
        <f>IF($O21="21日",VLOOKUP($BE21,参照データ!$C$24:$I$37,7,0),"")</f>
        <v/>
      </c>
      <c r="BR21" s="223" t="str">
        <f t="shared" si="42"/>
        <v/>
      </c>
      <c r="BS21" s="154" t="str">
        <f>IF($R21="入門",VLOOKUP($BE21,参照データ!$C$43:$U$56,2,0),IF($R21="初級",VLOOKUP($BE21,参照データ!$C$43:$U$56,3,0),IF($R21="中級",VLOOKUP($BE21,参照データ!$C$43:$U$56,4,0),IF($R21="上級",VLOOKUP($BE21,参照データ!$C$43:$U$56,5,0),""))))</f>
        <v/>
      </c>
      <c r="BT21" s="154" t="str">
        <f>IF($S21="初級",VLOOKUP($BE21,参照データ!$C$43:$U$56,6,0),IF($S21="中級",VLOOKUP($BE21,参照データ!$C$43:$U$56,7,0),IF($S21="上級",VLOOKUP($BE21,参照データ!$C$43:$U$56,8,0),"")))</f>
        <v/>
      </c>
      <c r="BU21" s="154" t="str">
        <f>IF($T21="初級",VLOOKUP($BE21,参照データ!$C$43:$U$56,9,0),IF($T21="上級",VLOOKUP($BE21,参照データ!$C$43:$U$56,10,0),""))</f>
        <v/>
      </c>
      <c r="BV21" s="154" t="str">
        <f>IF($U21="初級",VLOOKUP($BE21,参照データ!$C$43:$U$56,11,0),IF($U21="中級",VLOOKUP($BE21,参照データ!$C$43:$U$56,12,0),IF($U21="上級",VLOOKUP($BE21,参照データ!$C$43:$U$56,13,0),"")))</f>
        <v/>
      </c>
      <c r="BW21" s="154" t="str">
        <f>IF($V21="初級",VLOOKUP($BE21,参照データ!$C$43:$U$56,14,0),IF($V21="中級",VLOOKUP($BE21,参照データ!$C$43:$U$56,15,0),IF($V21="上級",VLOOKUP($BE21,参照データ!$C$43:$U$56,16,0),"")))</f>
        <v/>
      </c>
      <c r="BX21" s="47" t="str">
        <f t="shared" si="5"/>
        <v/>
      </c>
      <c r="BY21" s="47" t="str">
        <f>IF($W21="初級",VLOOKUP($BE21,参照データ!$C$43:$U$56,17,0),IF($W21="中級",VLOOKUP($BE21,参照データ!$C$43:$U$56,18,0),IF($W21="上級",VLOOKUP($BE21,参照データ!$C$43:$U$56,19,0),"")))</f>
        <v/>
      </c>
      <c r="BZ21" s="687"/>
      <c r="CA21" s="65" t="s">
        <v>233</v>
      </c>
      <c r="CB21" s="135" t="str">
        <f t="shared" si="13"/>
        <v/>
      </c>
      <c r="CC21" s="689"/>
      <c r="CE21" s="53" t="str">
        <f>IF(AND($AZ21&gt;=参照データ!$C$67,$AZ21&lt;=参照データ!$C$65),1,IF(AND($AZ21&gt;=参照データ!$C$70,$AZ21&lt;=参照データ!$C$68),2,IF(AND($AZ21&gt;=参照データ!$C$73,$AZ21&lt;=参照データ!$C$71),3,IF(AND($AZ21&gt;=参照データ!$C$76,$AZ21&lt;=参照データ!$C$74),4,IF(AND($AZ21&gt;=参照データ!$C$79,$AZ21&lt;=参照データ!$C$77),5,IF(AND($AZ21&gt;0,$AZ21&lt;=参照データ!$C$80),6,""))))))</f>
        <v/>
      </c>
      <c r="CF21" s="141" t="str">
        <f>IF($Z21="○",(VLOOKUP($CE21,参照データ!$D$65:$J$82,2,0)),"")</f>
        <v/>
      </c>
      <c r="CG21" s="71" t="str">
        <f t="shared" si="14"/>
        <v/>
      </c>
      <c r="CH21" s="70" t="str">
        <f>IF($AB21="○",(VLOOKUP($CE21,参照データ!$D$65:$J$82,3,0)),"")</f>
        <v/>
      </c>
      <c r="CI21" s="71" t="str">
        <f t="shared" si="15"/>
        <v/>
      </c>
      <c r="CJ21" s="70" t="str">
        <f>IF($AD21="○",(VLOOKUP($CE21,参照データ!$D$65:$J$82,4,0)),"")</f>
        <v/>
      </c>
      <c r="CK21" s="71" t="str">
        <f t="shared" si="16"/>
        <v/>
      </c>
      <c r="CL21" s="70" t="str">
        <f>IF($AF21="○",(VLOOKUP($CE21,参照データ!$D$65:$J$82,5,0)),"")</f>
        <v/>
      </c>
      <c r="CM21" s="71" t="str">
        <f t="shared" si="6"/>
        <v/>
      </c>
      <c r="CN21" s="70" t="str">
        <f>IF($AH21="○",(VLOOKUP($CE21,参照データ!$D$65:$J$82,6,0)),"")</f>
        <v/>
      </c>
      <c r="CO21" s="71" t="str">
        <f t="shared" si="17"/>
        <v/>
      </c>
      <c r="CP21" s="33" t="str">
        <f t="shared" si="18"/>
        <v/>
      </c>
      <c r="CQ21" s="32" t="str">
        <f t="shared" si="19"/>
        <v/>
      </c>
      <c r="CR21" s="71" t="str">
        <f t="shared" si="20"/>
        <v/>
      </c>
      <c r="CS21" s="682"/>
      <c r="CT21" s="77" t="s">
        <v>94</v>
      </c>
      <c r="CU21" s="78" t="str">
        <f t="shared" si="21"/>
        <v/>
      </c>
      <c r="CV21" s="684"/>
      <c r="CW21" s="308" t="str">
        <f t="shared" ref="CW21" si="52">$CW20</f>
        <v/>
      </c>
      <c r="CX21" s="70"/>
      <c r="CY21" s="172" t="str">
        <f t="shared" si="22"/>
        <v/>
      </c>
      <c r="DA21" s="32"/>
      <c r="DB21" s="161" t="str">
        <f t="shared" si="23"/>
        <v/>
      </c>
      <c r="DC21" s="744"/>
      <c r="DD21" s="164" t="s">
        <v>94</v>
      </c>
      <c r="DE21" s="165" t="str">
        <f t="shared" si="44"/>
        <v/>
      </c>
      <c r="DF21" s="742"/>
      <c r="DG21" t="str">
        <f>IF($DH21="","",DATEDIF($AZ21,参照データ!$D$19,"Y"))</f>
        <v/>
      </c>
      <c r="DH21" s="253" t="str">
        <f>IFERROR(IF($BA21="男子",VLOOKUP($DO21,参照データ!$D$88:$E$117,2,0),$DO21),0)</f>
        <v/>
      </c>
      <c r="DI21" s="84" t="str">
        <f>IF($Z21="選手権",(VLOOKUP($DH21,参照データ!$D$88:$K$117,3,0)),"")</f>
        <v/>
      </c>
      <c r="DJ21" s="85" t="str">
        <f t="shared" si="7"/>
        <v/>
      </c>
      <c r="DK21" s="84" t="str">
        <f>IF($AB21="選手権",(VLOOKUP($DH21,参照データ!$D$88:$K$117,4,0)),"")</f>
        <v/>
      </c>
      <c r="DL21" s="85" t="str">
        <f t="shared" si="8"/>
        <v/>
      </c>
      <c r="DM21" s="84" t="str">
        <f>IF($AD21="選手権",(VLOOKUP($DH21,参照データ!$D$88:$K$117,5,0)),"")</f>
        <v/>
      </c>
      <c r="DN21" s="85" t="str">
        <f t="shared" si="9"/>
        <v/>
      </c>
      <c r="DO21" s="53" t="str">
        <f>IF(AND($AZ21&gt;=参照データ!$C$90,$AZ21&lt;=参照データ!$C$88),1,IF(AND($AZ21&gt;=参照データ!$C$93,$AZ21&lt;=参照データ!$C$91),2,IF(AND($AZ21&gt;=参照データ!$C$99,$AZ21&lt;=参照データ!$C$97),3,IF(AND($AZ21&gt;=参照データ!$C$105,$AZ21&lt;=参照データ!$C$103),4,IF(AND($AZ21&gt;=参照データ!$C$111,$AZ21&lt;=参照データ!$C$109),5,IF(AND($AZ21&gt;0,$AZ21&lt;=参照データ!$C$112),6,""))))))</f>
        <v/>
      </c>
      <c r="DP21" s="84" t="str">
        <f>IF($AF21="選手権",(VLOOKUP($DO21,参照データ!$D$88:$K$117,6,0)),"")</f>
        <v/>
      </c>
      <c r="DQ21" s="85" t="str">
        <f t="shared" si="10"/>
        <v/>
      </c>
      <c r="DR21" s="84" t="str">
        <f>IF($AH21="選手権",(VLOOKUP($DO21,参照データ!$D$88:$K$117,7,0)),"")</f>
        <v/>
      </c>
      <c r="DS21" s="85" t="str">
        <f t="shared" si="24"/>
        <v/>
      </c>
      <c r="DT21" s="33" t="str">
        <f t="shared" si="25"/>
        <v/>
      </c>
      <c r="DU21" s="32" t="str">
        <f t="shared" si="26"/>
        <v/>
      </c>
      <c r="DV21" s="85" t="str">
        <f t="shared" si="27"/>
        <v/>
      </c>
      <c r="DW21" s="733"/>
      <c r="DX21" s="91" t="s">
        <v>94</v>
      </c>
      <c r="DY21" s="92" t="str">
        <f t="shared" si="37"/>
        <v/>
      </c>
      <c r="DZ21" s="735"/>
      <c r="EA21" s="312" t="str">
        <f t="shared" ref="EA21" si="53">$EA20</f>
        <v/>
      </c>
      <c r="EC21" s="491" t="str">
        <f t="shared" si="28"/>
        <v/>
      </c>
      <c r="EH21" s="35">
        <f>(COUNTIF($J21:$O21,"&lt;&gt;"))*参照データ!$E$3</f>
        <v>0</v>
      </c>
      <c r="EI21" s="219" t="str">
        <f>IF(P21="○",参照データ!$E$5,"")</f>
        <v/>
      </c>
      <c r="EJ21" s="219" t="str">
        <f>IF($Y21="○",参照データ!$E$4,"")</f>
        <v/>
      </c>
      <c r="EK21" s="18">
        <f>(SUM(COUNTIF($R21:$V21,{"入門","初級"}))*参照データ!$E$9)+(SUM(COUNTIF($R21:$V21,{"中級","上級"})*参照データ!$E$10))</f>
        <v>0</v>
      </c>
      <c r="EL21" s="18">
        <f>IFERROR(VLOOKUP($W21,参照データ!$D$9:$J$11,7,0),0)</f>
        <v>0</v>
      </c>
      <c r="EM21" s="18">
        <f>((COUNTIF($Z21:$AH21,"○"))*参照データ!$E$12)</f>
        <v>0</v>
      </c>
      <c r="EN21" s="18" t="str">
        <f>(IF($AJ21="○",参照データ!$J$12,""))</f>
        <v/>
      </c>
      <c r="EQ21" s="18">
        <f>((COUNTIF($Z21:$AH21,"選手権"))*参照データ!$E$13)</f>
        <v>0</v>
      </c>
      <c r="ER21" s="18" t="str">
        <f>(IF($AJ21="選手権",参照データ!$J$13,""))</f>
        <v/>
      </c>
      <c r="ES21" s="18">
        <f>(COUNTIF($AQ21:$AR21,"&lt;&gt;"))*参照データ!$H$3</f>
        <v>0</v>
      </c>
      <c r="ET21" s="18"/>
      <c r="EU21" s="18" t="str">
        <f>IF(AV21&lt;&gt;"",参照データ!$H$15,"")</f>
        <v/>
      </c>
      <c r="EV21" s="98" cm="1">
        <f t="array" ref="EV21">SUM(IF(ISERROR(EH21:EU21),0,(EH21:EU21)))</f>
        <v>0</v>
      </c>
      <c r="EW21" s="18"/>
      <c r="EX21" s="18">
        <f t="shared" si="11"/>
        <v>0</v>
      </c>
      <c r="EY21" s="18">
        <f t="shared" si="29"/>
        <v>0</v>
      </c>
      <c r="EZ21" s="18">
        <f t="shared" si="38"/>
        <v>0</v>
      </c>
      <c r="FA21" s="18">
        <f t="shared" si="30"/>
        <v>0</v>
      </c>
      <c r="FB21" s="18">
        <f t="shared" si="31"/>
        <v>0</v>
      </c>
      <c r="FC21" s="18">
        <f t="shared" si="32"/>
        <v>0</v>
      </c>
      <c r="FD21" s="18">
        <f t="shared" si="12"/>
        <v>0</v>
      </c>
      <c r="FE21" t="str">
        <f t="shared" si="33"/>
        <v/>
      </c>
    </row>
    <row r="22" spans="1:161" ht="18.75" customHeight="1" x14ac:dyDescent="0.2">
      <c r="A22">
        <v>11</v>
      </c>
      <c r="B22" s="14" t="str">
        <f>IF(D22="","",IF(D22="重複","",COUNTIF(B$12:$B21,"&gt;0")+1))</f>
        <v/>
      </c>
      <c r="C22" s="464"/>
      <c r="D22" s="177"/>
      <c r="E22" s="177"/>
      <c r="F22" s="31"/>
      <c r="G22" s="41"/>
      <c r="H22" s="351">
        <f t="shared" si="34"/>
        <v>0</v>
      </c>
      <c r="I22" s="193" t="str">
        <f>IF($AZ22=0,"",DATEDIF($AZ22,参照データ!$D$16,"Y"))</f>
        <v/>
      </c>
      <c r="J22" s="36"/>
      <c r="K22" s="36"/>
      <c r="L22" s="36"/>
      <c r="M22" s="36"/>
      <c r="N22" s="36"/>
      <c r="O22" s="42"/>
      <c r="P22" s="345"/>
      <c r="Q22" s="345"/>
      <c r="R22" s="43"/>
      <c r="S22" s="244"/>
      <c r="T22" s="244"/>
      <c r="U22" s="244"/>
      <c r="V22" s="245"/>
      <c r="W22" s="247"/>
      <c r="X22" s="250"/>
      <c r="Y22" s="345"/>
      <c r="Z22" s="388"/>
      <c r="AA22" s="346" t="str">
        <f>IF($Z22="○",VLOOKUP($CE22,参照データ!$D$65:$M$82,9,0),IF($Z22="選手権",VLOOKUP($DH22,参照データ!$D$88:$O$117,10,0),""))</f>
        <v/>
      </c>
      <c r="AB22" s="388"/>
      <c r="AC22" s="346" t="str">
        <f>IF($AB22="○",VLOOKUP($CE22,参照データ!$D$65:$M$82,10,0),IF($AB22="選手権",VLOOKUP($DH22,参照データ!$D$88:$O$117,11,0),""))</f>
        <v/>
      </c>
      <c r="AD22" s="388"/>
      <c r="AE22" s="346" t="str">
        <f>IF($AD22="○",VLOOKUP($CE22,参照データ!$D$65:$M$82,10,0),IF($AD22="選手権",VLOOKUP($DH22,参照データ!$D$88:$O$117,11,0),""))</f>
        <v/>
      </c>
      <c r="AF22" s="388"/>
      <c r="AG22" s="346" t="str">
        <f>IF($AF22="○",VLOOKUP($CE22,参照データ!$D$65:$M$82,10,0),IF($AF22="選手権",VLOOKUP($DO22,参照データ!$D$88:$O$117,12,0),""))</f>
        <v/>
      </c>
      <c r="AH22" s="388"/>
      <c r="AI22" s="346" t="str">
        <f>IF($AH22="○",VLOOKUP($CE22,参照データ!$D$65:$M$82,10,0),IF($AH22="選手権",VLOOKUP($DO22,参照データ!$D$88:$O$117,12,0),""))</f>
        <v/>
      </c>
      <c r="AJ22" s="388"/>
      <c r="AK22" s="511"/>
      <c r="AL22" s="346" t="str">
        <f t="shared" si="3"/>
        <v/>
      </c>
      <c r="AM22" s="392"/>
      <c r="AN22" s="391"/>
      <c r="AO22" s="391"/>
      <c r="AP22" s="447"/>
      <c r="AQ22" s="321"/>
      <c r="AR22" s="481"/>
      <c r="AS22" s="393"/>
      <c r="AT22" s="483"/>
      <c r="AU22" s="393"/>
      <c r="AV22" s="529"/>
      <c r="AW22" s="483"/>
      <c r="AY22" s="1" t="s">
        <v>443</v>
      </c>
      <c r="AZ22">
        <f t="shared" si="50"/>
        <v>0</v>
      </c>
      <c r="BA22" t="str">
        <f t="shared" si="35"/>
        <v/>
      </c>
      <c r="BB22" s="132"/>
      <c r="BD22" s="513" t="str">
        <f t="shared" si="4"/>
        <v/>
      </c>
      <c r="BE22" s="53" t="str">
        <f>IF($AZ22=0,"",IF(AND($I22&gt;=6,$I22&lt;=19),VLOOKUP($I22,参照データ!$B$24:$C$37,2,0),IF($I22&lt;6,6,19)))</f>
        <v/>
      </c>
      <c r="BF22" s="155" t="str">
        <f>IF($J22="○",VLOOKUP($BE22,参照データ!$C$24:$I$37,2,0),"")</f>
        <v/>
      </c>
      <c r="BG22" s="146" t="str">
        <f>IF($K22="○",VLOOKUP($BE22,参照データ!$C$24:$I$37,3,0),"")</f>
        <v/>
      </c>
      <c r="BH22" s="146" t="str">
        <f>IF($L22="○",VLOOKUP($BE22,参照データ!$C$24:$I$37,4,0),"")</f>
        <v/>
      </c>
      <c r="BI22" s="146" t="str">
        <f>IF($M22="○",VLOOKUP($BE22,参照データ!$C$24:$I$37,5,0),"")</f>
        <v/>
      </c>
      <c r="BJ22" s="146" t="str">
        <f>IF($N22="20日",VLOOKUP($BE22,参照データ!$C$24:$I$37,6,0),"")</f>
        <v/>
      </c>
      <c r="BK22" s="156" t="str">
        <f>IF($O22="20日",VLOOKUP($BE22,参照データ!$C$24:$I$37,7,0),"")</f>
        <v/>
      </c>
      <c r="BL22" s="155" t="str">
        <f>IF($J22="21日",VLOOKUP($BE22,参照データ!$C$24:$I$37,2,0),"")</f>
        <v/>
      </c>
      <c r="BM22" s="146" t="str">
        <f>IF($K22="21日",VLOOKUP($BE22,参照データ!$C$24:$I$37,3,0),"")</f>
        <v/>
      </c>
      <c r="BN22" s="146" t="str">
        <f>IF($L22="21日",VLOOKUP($BE22,参照データ!$C$24:$I$37,4,0),"")</f>
        <v/>
      </c>
      <c r="BO22" s="146" t="str">
        <f>IF($M22="21日",VLOOKUP($BE22,参照データ!$C$24:$I$37,5,0),"")</f>
        <v/>
      </c>
      <c r="BP22" s="146" t="str">
        <f>IF($N22="21日",VLOOKUP($BE22,参照データ!$C$24:$I$37,6,0),"")</f>
        <v/>
      </c>
      <c r="BQ22" s="156" t="str">
        <f>IF($O22="21日",VLOOKUP($BE22,参照データ!$C$24:$I$37,7,0),"")</f>
        <v/>
      </c>
      <c r="BR22" s="223" t="str">
        <f t="shared" si="42"/>
        <v/>
      </c>
      <c r="BS22" s="154" t="str">
        <f>IF($R22="入門",VLOOKUP($BE22,参照データ!$C$43:$U$56,2,0),IF($R22="初級",VLOOKUP($BE22,参照データ!$C$43:$U$56,3,0),IF($R22="中級",VLOOKUP($BE22,参照データ!$C$43:$U$56,4,0),IF($R22="上級",VLOOKUP($BE22,参照データ!$C$43:$U$56,5,0),""))))</f>
        <v/>
      </c>
      <c r="BT22" s="154" t="str">
        <f>IF($S22="初級",VLOOKUP($BE22,参照データ!$C$43:$U$56,6,0),IF($S22="中級",VLOOKUP($BE22,参照データ!$C$43:$U$56,7,0),IF($S22="上級",VLOOKUP($BE22,参照データ!$C$43:$U$56,8,0),"")))</f>
        <v/>
      </c>
      <c r="BU22" s="154" t="str">
        <f>IF($T22="初級",VLOOKUP($BE22,参照データ!$C$43:$U$56,9,0),IF($T22="上級",VLOOKUP($BE22,参照データ!$C$43:$U$56,10,0),""))</f>
        <v/>
      </c>
      <c r="BV22" s="154" t="str">
        <f>IF($U22="初級",VLOOKUP($BE22,参照データ!$C$43:$U$56,11,0),IF($U22="中級",VLOOKUP($BE22,参照データ!$C$43:$U$56,12,0),IF($U22="上級",VLOOKUP($BE22,参照データ!$C$43:$U$56,13,0),"")))</f>
        <v/>
      </c>
      <c r="BW22" s="154" t="str">
        <f>IF($V22="初級",VLOOKUP($BE22,参照データ!$C$43:$U$56,14,0),IF($V22="中級",VLOOKUP($BE22,参照データ!$C$43:$U$56,15,0),IF($V22="上級",VLOOKUP($BE22,参照データ!$C$43:$U$56,16,0),"")))</f>
        <v/>
      </c>
      <c r="BX22" s="47" t="str">
        <f t="shared" si="5"/>
        <v/>
      </c>
      <c r="BY22" s="47" t="str">
        <f>IF($W22="初級",VLOOKUP($BE22,参照データ!$C$43:$U$56,17,0),IF($W22="中級",VLOOKUP($BE22,参照データ!$C$43:$U$56,18,0),IF($W22="上級",VLOOKUP($BE22,参照データ!$C$43:$U$56,19,0),"")))</f>
        <v/>
      </c>
      <c r="BZ22" s="686">
        <v>6</v>
      </c>
      <c r="CA22" s="66" t="s">
        <v>234</v>
      </c>
      <c r="CB22" s="136" t="str">
        <f t="shared" si="13"/>
        <v/>
      </c>
      <c r="CC22" s="688" t="str">
        <f t="shared" ref="CC22" si="54">IF(OR($CB22="",$CB23=""),"",IF($CB22&gt;$CB23,$CB22,$CB23))</f>
        <v/>
      </c>
      <c r="CE22" s="53" t="str">
        <f>IF(AND($AZ22&gt;=参照データ!$C$67,$AZ22&lt;=参照データ!$C$65),1,IF(AND($AZ22&gt;=参照データ!$C$70,$AZ22&lt;=参照データ!$C$68),2,IF(AND($AZ22&gt;=参照データ!$C$73,$AZ22&lt;=参照データ!$C$71),3,IF(AND($AZ22&gt;=参照データ!$C$76,$AZ22&lt;=参照データ!$C$74),4,IF(AND($AZ22&gt;=参照データ!$C$79,$AZ22&lt;=参照データ!$C$77),5,IF(AND($AZ22&gt;0,$AZ22&lt;=参照データ!$C$80),6,""))))))</f>
        <v/>
      </c>
      <c r="CF22" s="141" t="str">
        <f>IF($Z22="○",(VLOOKUP($CE22,参照データ!$D$65:$J$82,2,0)),"")</f>
        <v/>
      </c>
      <c r="CG22" s="71" t="str">
        <f t="shared" si="14"/>
        <v/>
      </c>
      <c r="CH22" s="70" t="str">
        <f>IF($AB22="○",(VLOOKUP($CE22,参照データ!$D$65:$J$82,3,0)),"")</f>
        <v/>
      </c>
      <c r="CI22" s="71" t="str">
        <f t="shared" si="15"/>
        <v/>
      </c>
      <c r="CJ22" s="70" t="str">
        <f>IF($AD22="○",(VLOOKUP($CE22,参照データ!$D$65:$J$82,4,0)),"")</f>
        <v/>
      </c>
      <c r="CK22" s="71" t="str">
        <f t="shared" si="16"/>
        <v/>
      </c>
      <c r="CL22" s="70" t="str">
        <f>IF($AF22="○",(VLOOKUP($CE22,参照データ!$D$65:$J$82,5,0)),"")</f>
        <v/>
      </c>
      <c r="CM22" s="71" t="str">
        <f t="shared" si="6"/>
        <v/>
      </c>
      <c r="CN22" s="70" t="str">
        <f>IF($AH22="○",(VLOOKUP($CE22,参照データ!$D$65:$J$82,6,0)),"")</f>
        <v/>
      </c>
      <c r="CO22" s="71" t="str">
        <f t="shared" si="17"/>
        <v/>
      </c>
      <c r="CP22" s="33" t="str">
        <f t="shared" si="18"/>
        <v/>
      </c>
      <c r="CQ22" s="32" t="str">
        <f t="shared" si="19"/>
        <v/>
      </c>
      <c r="CR22" s="71" t="str">
        <f t="shared" si="20"/>
        <v/>
      </c>
      <c r="CS22" s="681">
        <v>6</v>
      </c>
      <c r="CT22" s="79" t="s">
        <v>95</v>
      </c>
      <c r="CU22" s="80" t="str">
        <f t="shared" si="21"/>
        <v/>
      </c>
      <c r="CV22" s="683" t="e">
        <f>IF($CU22&gt;$CU23,VLOOKUP($CU22,参照データ!$D$65:$J$82,7,0),VLOOKUP($CU23,参照データ!$D$65:$J$82,7,0))</f>
        <v>#N/A</v>
      </c>
      <c r="CW22" s="308" t="str">
        <f>IFERROR(VLOOKUP($CV22,参照データ!$J$65:$M$82,4,0),"")</f>
        <v/>
      </c>
      <c r="CX22" s="70"/>
      <c r="CY22" s="172" t="str">
        <f t="shared" si="22"/>
        <v/>
      </c>
      <c r="DA22" s="32"/>
      <c r="DB22" s="161" t="str">
        <f t="shared" si="23"/>
        <v/>
      </c>
      <c r="DC22" s="743">
        <v>6</v>
      </c>
      <c r="DD22" s="166" t="s">
        <v>95</v>
      </c>
      <c r="DE22" s="167" t="str">
        <f t="shared" si="44"/>
        <v/>
      </c>
      <c r="DF22" s="741" t="str">
        <f>IF(OR(DE22="",DE23=""),"",IF(DE22&gt;DE23,DE22,DE23))</f>
        <v/>
      </c>
      <c r="DG22" t="str">
        <f>IF($DH22="","",DATEDIF($AZ22,参照データ!$D$19,"Y"))</f>
        <v/>
      </c>
      <c r="DH22" s="253" t="str">
        <f>IFERROR(IF($BA22="男子",VLOOKUP($DO22,参照データ!$D$88:$E$117,2,0),$DO22),0)</f>
        <v/>
      </c>
      <c r="DI22" s="84" t="str">
        <f>IF($Z22="選手権",(VLOOKUP($DH22,参照データ!$D$88:$K$117,3,0)),"")</f>
        <v/>
      </c>
      <c r="DJ22" s="85" t="str">
        <f t="shared" si="7"/>
        <v/>
      </c>
      <c r="DK22" s="84" t="str">
        <f>IF($AB22="選手権",(VLOOKUP($DH22,参照データ!$D$88:$K$117,4,0)),"")</f>
        <v/>
      </c>
      <c r="DL22" s="85" t="str">
        <f t="shared" si="8"/>
        <v/>
      </c>
      <c r="DM22" s="84" t="str">
        <f>IF($AD22="選手権",(VLOOKUP($DH22,参照データ!$D$88:$K$117,5,0)),"")</f>
        <v/>
      </c>
      <c r="DN22" s="85" t="str">
        <f t="shared" si="9"/>
        <v/>
      </c>
      <c r="DO22" s="53" t="str">
        <f>IF(AND($AZ22&gt;=参照データ!$C$90,$AZ22&lt;=参照データ!$C$88),1,IF(AND($AZ22&gt;=参照データ!$C$93,$AZ22&lt;=参照データ!$C$91),2,IF(AND($AZ22&gt;=参照データ!$C$99,$AZ22&lt;=参照データ!$C$97),3,IF(AND($AZ22&gt;=参照データ!$C$105,$AZ22&lt;=参照データ!$C$103),4,IF(AND($AZ22&gt;=参照データ!$C$111,$AZ22&lt;=参照データ!$C$109),5,IF(AND($AZ22&gt;0,$AZ22&lt;=参照データ!$C$112),6,""))))))</f>
        <v/>
      </c>
      <c r="DP22" s="84" t="str">
        <f>IF($AF22="選手権",(VLOOKUP($DO22,参照データ!$D$88:$K$117,6,0)),"")</f>
        <v/>
      </c>
      <c r="DQ22" s="85" t="str">
        <f t="shared" si="10"/>
        <v/>
      </c>
      <c r="DR22" s="84" t="str">
        <f>IF($AH22="選手権",(VLOOKUP($DO22,参照データ!$D$88:$K$117,7,0)),"")</f>
        <v/>
      </c>
      <c r="DS22" s="85" t="str">
        <f t="shared" si="24"/>
        <v/>
      </c>
      <c r="DT22" s="33" t="str">
        <f t="shared" si="25"/>
        <v/>
      </c>
      <c r="DU22" s="32" t="str">
        <f t="shared" si="26"/>
        <v/>
      </c>
      <c r="DV22" s="85" t="str">
        <f t="shared" si="27"/>
        <v/>
      </c>
      <c r="DW22" s="736">
        <v>6</v>
      </c>
      <c r="DX22" s="93" t="s">
        <v>95</v>
      </c>
      <c r="DY22" s="94" t="str">
        <f t="shared" si="37"/>
        <v/>
      </c>
      <c r="DZ22" s="737" t="e">
        <f>IF($DY22&gt;$DY23,VLOOKUP($DY22,参照データ!$D$88:$K$117,8,0),VLOOKUP($DY23,参照データ!$D$88:$K$117,8,0))</f>
        <v>#N/A</v>
      </c>
      <c r="EA22" s="312" t="str">
        <f>IFERROR(VLOOKUP($DZ22,参照データ!$K$88:$O$117,5,0),"")</f>
        <v/>
      </c>
      <c r="EC22" s="491" t="str">
        <f t="shared" si="28"/>
        <v/>
      </c>
      <c r="EH22" s="35">
        <f>(COUNTIF($J22:$O22,"&lt;&gt;"))*参照データ!$E$3</f>
        <v>0</v>
      </c>
      <c r="EI22" s="219" t="str">
        <f>IF(P22="○",参照データ!$E$5,"")</f>
        <v/>
      </c>
      <c r="EJ22" s="219" t="str">
        <f>IF($Y22="○",参照データ!$E$4,"")</f>
        <v/>
      </c>
      <c r="EK22" s="18">
        <f>(SUM(COUNTIF($R22:$V22,{"入門","初級"}))*参照データ!$E$9)+(SUM(COUNTIF($R22:$V22,{"中級","上級"})*参照データ!$E$10))</f>
        <v>0</v>
      </c>
      <c r="EL22" s="18">
        <f>IFERROR(VLOOKUP($W22,参照データ!$D$9:$J$11,7,0),0)</f>
        <v>0</v>
      </c>
      <c r="EM22" s="18">
        <f>((COUNTIF($Z22:$AH22,"○"))*参照データ!$E$12)</f>
        <v>0</v>
      </c>
      <c r="EN22" s="18" t="str">
        <f>(IF($AJ22="○",参照データ!$J$12,""))</f>
        <v/>
      </c>
      <c r="EQ22" s="18">
        <f>((COUNTIF($Z22:$AH22,"選手権"))*参照データ!$E$13)</f>
        <v>0</v>
      </c>
      <c r="ER22" s="18" t="str">
        <f>(IF($AJ22="選手権",参照データ!$J$13,""))</f>
        <v/>
      </c>
      <c r="ES22" s="18">
        <f>(COUNTIF($AQ22:$AR22,"&lt;&gt;"))*参照データ!$H$3</f>
        <v>0</v>
      </c>
      <c r="ET22" s="18"/>
      <c r="EU22" s="18" t="str">
        <f>IF(AV22&lt;&gt;"",参照データ!$H$15,"")</f>
        <v/>
      </c>
      <c r="EV22" s="98" cm="1">
        <f t="array" ref="EV22">SUM(IF(ISERROR(EH22:EU22),0,(EH22:EU22)))</f>
        <v>0</v>
      </c>
      <c r="EW22" s="18"/>
      <c r="EX22" s="18">
        <f t="shared" si="11"/>
        <v>0</v>
      </c>
      <c r="EY22" s="18">
        <f t="shared" si="29"/>
        <v>0</v>
      </c>
      <c r="EZ22" s="18">
        <f t="shared" si="38"/>
        <v>0</v>
      </c>
      <c r="FA22" s="18">
        <f t="shared" si="30"/>
        <v>0</v>
      </c>
      <c r="FB22" s="18">
        <f t="shared" si="31"/>
        <v>0</v>
      </c>
      <c r="FC22" s="18">
        <f t="shared" si="32"/>
        <v>0</v>
      </c>
      <c r="FD22" s="18">
        <f t="shared" si="12"/>
        <v>0</v>
      </c>
      <c r="FE22" t="str">
        <f t="shared" si="33"/>
        <v/>
      </c>
    </row>
    <row r="23" spans="1:161" ht="18.75" customHeight="1" x14ac:dyDescent="0.2">
      <c r="A23">
        <v>12</v>
      </c>
      <c r="B23" s="14" t="str">
        <f>IF(D23="","",IF(D23="重複","",COUNTIF(B$12:$B22,"&gt;0")+1))</f>
        <v/>
      </c>
      <c r="C23" s="464"/>
      <c r="D23" s="177"/>
      <c r="E23" s="177"/>
      <c r="F23" s="31"/>
      <c r="G23" s="41"/>
      <c r="H23" s="351">
        <f t="shared" si="34"/>
        <v>0</v>
      </c>
      <c r="I23" s="193" t="str">
        <f>IF($AZ23=0,"",DATEDIF($AZ23,参照データ!$D$16,"Y"))</f>
        <v/>
      </c>
      <c r="J23" s="36"/>
      <c r="K23" s="36"/>
      <c r="L23" s="36"/>
      <c r="M23" s="36"/>
      <c r="N23" s="36"/>
      <c r="O23" s="42"/>
      <c r="P23" s="345"/>
      <c r="Q23" s="345"/>
      <c r="R23" s="43"/>
      <c r="S23" s="244"/>
      <c r="T23" s="244"/>
      <c r="U23" s="244"/>
      <c r="V23" s="245"/>
      <c r="W23" s="247"/>
      <c r="X23" s="250"/>
      <c r="Y23" s="345"/>
      <c r="Z23" s="388"/>
      <c r="AA23" s="346" t="str">
        <f>IF($Z23="○",VLOOKUP($CE23,参照データ!$D$65:$M$82,9,0),IF($Z23="選手権",VLOOKUP($DH23,参照データ!$D$88:$O$117,10,0),""))</f>
        <v/>
      </c>
      <c r="AB23" s="388"/>
      <c r="AC23" s="346" t="str">
        <f>IF($AB23="○",VLOOKUP($CE23,参照データ!$D$65:$M$82,10,0),IF($AB23="選手権",VLOOKUP($DH23,参照データ!$D$88:$O$117,11,0),""))</f>
        <v/>
      </c>
      <c r="AD23" s="388"/>
      <c r="AE23" s="346" t="str">
        <f>IF($AD23="○",VLOOKUP($CE23,参照データ!$D$65:$M$82,10,0),IF($AD23="選手権",VLOOKUP($DH23,参照データ!$D$88:$O$117,11,0),""))</f>
        <v/>
      </c>
      <c r="AF23" s="388"/>
      <c r="AG23" s="346" t="str">
        <f>IF($AF23="○",VLOOKUP($CE23,参照データ!$D$65:$M$82,10,0),IF($AF23="選手権",VLOOKUP($DO23,参照データ!$D$88:$O$117,12,0),""))</f>
        <v/>
      </c>
      <c r="AH23" s="388"/>
      <c r="AI23" s="346" t="str">
        <f>IF($AH23="○",VLOOKUP($CE23,参照データ!$D$65:$M$82,10,0),IF($AH23="選手権",VLOOKUP($DO23,参照データ!$D$88:$O$117,12,0),""))</f>
        <v/>
      </c>
      <c r="AJ23" s="388"/>
      <c r="AK23" s="511"/>
      <c r="AL23" s="346" t="str">
        <f t="shared" si="3"/>
        <v/>
      </c>
      <c r="AM23" s="392"/>
      <c r="AN23" s="391"/>
      <c r="AO23" s="391"/>
      <c r="AP23" s="447"/>
      <c r="AQ23" s="321"/>
      <c r="AR23" s="481"/>
      <c r="AS23" s="393"/>
      <c r="AT23" s="483"/>
      <c r="AU23" s="393"/>
      <c r="AV23" s="529"/>
      <c r="AW23" s="483"/>
      <c r="AY23" s="1" t="s">
        <v>678</v>
      </c>
      <c r="AZ23">
        <f t="shared" si="50"/>
        <v>0</v>
      </c>
      <c r="BA23" t="str">
        <f t="shared" si="35"/>
        <v/>
      </c>
      <c r="BB23" s="132"/>
      <c r="BD23" s="513" t="str">
        <f t="shared" si="4"/>
        <v/>
      </c>
      <c r="BE23" s="53" t="str">
        <f>IF($AZ23=0,"",IF(AND($I23&gt;=6,$I23&lt;=19),VLOOKUP($I23,参照データ!$B$24:$C$37,2,0),IF($I23&lt;6,6,19)))</f>
        <v/>
      </c>
      <c r="BF23" s="155" t="str">
        <f>IF($J23="○",VLOOKUP($BE23,参照データ!$C$24:$I$37,2,0),"")</f>
        <v/>
      </c>
      <c r="BG23" s="146" t="str">
        <f>IF($K23="○",VLOOKUP($BE23,参照データ!$C$24:$I$37,3,0),"")</f>
        <v/>
      </c>
      <c r="BH23" s="146" t="str">
        <f>IF($L23="○",VLOOKUP($BE23,参照データ!$C$24:$I$37,4,0),"")</f>
        <v/>
      </c>
      <c r="BI23" s="146" t="str">
        <f>IF($M23="○",VLOOKUP($BE23,参照データ!$C$24:$I$37,5,0),"")</f>
        <v/>
      </c>
      <c r="BJ23" s="146" t="str">
        <f>IF($N23="20日",VLOOKUP($BE23,参照データ!$C$24:$I$37,6,0),"")</f>
        <v/>
      </c>
      <c r="BK23" s="156" t="str">
        <f>IF($O23="20日",VLOOKUP($BE23,参照データ!$C$24:$I$37,7,0),"")</f>
        <v/>
      </c>
      <c r="BL23" s="155" t="str">
        <f>IF($J23="21日",VLOOKUP($BE23,参照データ!$C$24:$I$37,2,0),"")</f>
        <v/>
      </c>
      <c r="BM23" s="146" t="str">
        <f>IF($K23="21日",VLOOKUP($BE23,参照データ!$C$24:$I$37,3,0),"")</f>
        <v/>
      </c>
      <c r="BN23" s="146" t="str">
        <f>IF($L23="21日",VLOOKUP($BE23,参照データ!$C$24:$I$37,4,0),"")</f>
        <v/>
      </c>
      <c r="BO23" s="146" t="str">
        <f>IF($M23="21日",VLOOKUP($BE23,参照データ!$C$24:$I$37,5,0),"")</f>
        <v/>
      </c>
      <c r="BP23" s="146" t="str">
        <f>IF($N23="21日",VLOOKUP($BE23,参照データ!$C$24:$I$37,6,0),"")</f>
        <v/>
      </c>
      <c r="BQ23" s="156" t="str">
        <f>IF($O23="21日",VLOOKUP($BE23,参照データ!$C$24:$I$37,7,0),"")</f>
        <v/>
      </c>
      <c r="BR23" s="223" t="str">
        <f t="shared" si="42"/>
        <v/>
      </c>
      <c r="BS23" s="154" t="str">
        <f>IF($R23="入門",VLOOKUP($BE23,参照データ!$C$43:$U$56,2,0),IF($R23="初級",VLOOKUP($BE23,参照データ!$C$43:$U$56,3,0),IF($R23="中級",VLOOKUP($BE23,参照データ!$C$43:$U$56,4,0),IF($R23="上級",VLOOKUP($BE23,参照データ!$C$43:$U$56,5,0),""))))</f>
        <v/>
      </c>
      <c r="BT23" s="154" t="str">
        <f>IF($S23="初級",VLOOKUP($BE23,参照データ!$C$43:$U$56,6,0),IF($S23="中級",VLOOKUP($BE23,参照データ!$C$43:$U$56,7,0),IF($S23="上級",VLOOKUP($BE23,参照データ!$C$43:$U$56,8,0),"")))</f>
        <v/>
      </c>
      <c r="BU23" s="154" t="str">
        <f>IF($T23="初級",VLOOKUP($BE23,参照データ!$C$43:$U$56,9,0),IF($T23="上級",VLOOKUP($BE23,参照データ!$C$43:$U$56,10,0),""))</f>
        <v/>
      </c>
      <c r="BV23" s="154" t="str">
        <f>IF($U23="初級",VLOOKUP($BE23,参照データ!$C$43:$U$56,11,0),IF($U23="中級",VLOOKUP($BE23,参照データ!$C$43:$U$56,12,0),IF($U23="上級",VLOOKUP($BE23,参照データ!$C$43:$U$56,13,0),"")))</f>
        <v/>
      </c>
      <c r="BW23" s="154" t="str">
        <f>IF($V23="初級",VLOOKUP($BE23,参照データ!$C$43:$U$56,14,0),IF($V23="中級",VLOOKUP($BE23,参照データ!$C$43:$U$56,15,0),IF($V23="上級",VLOOKUP($BE23,参照データ!$C$43:$U$56,16,0),"")))</f>
        <v/>
      </c>
      <c r="BX23" s="47" t="str">
        <f t="shared" si="5"/>
        <v/>
      </c>
      <c r="BY23" s="47" t="str">
        <f>IF($W23="初級",VLOOKUP($BE23,参照データ!$C$43:$U$56,17,0),IF($W23="中級",VLOOKUP($BE23,参照データ!$C$43:$U$56,18,0),IF($W23="上級",VLOOKUP($BE23,参照データ!$C$43:$U$56,19,0),"")))</f>
        <v/>
      </c>
      <c r="BZ23" s="687"/>
      <c r="CA23" s="65" t="s">
        <v>235</v>
      </c>
      <c r="CB23" s="135" t="str">
        <f t="shared" si="13"/>
        <v/>
      </c>
      <c r="CC23" s="689"/>
      <c r="CE23" s="53" t="str">
        <f>IF(AND($AZ23&gt;=参照データ!$C$67,$AZ23&lt;=参照データ!$C$65),1,IF(AND($AZ23&gt;=参照データ!$C$70,$AZ23&lt;=参照データ!$C$68),2,IF(AND($AZ23&gt;=参照データ!$C$73,$AZ23&lt;=参照データ!$C$71),3,IF(AND($AZ23&gt;=参照データ!$C$76,$AZ23&lt;=参照データ!$C$74),4,IF(AND($AZ23&gt;=参照データ!$C$79,$AZ23&lt;=参照データ!$C$77),5,IF(AND($AZ23&gt;0,$AZ23&lt;=参照データ!$C$80),6,""))))))</f>
        <v/>
      </c>
      <c r="CF23" s="141" t="str">
        <f>IF($Z23="○",(VLOOKUP($CE23,参照データ!$D$65:$J$82,2,0)),"")</f>
        <v/>
      </c>
      <c r="CG23" s="71" t="str">
        <f t="shared" si="14"/>
        <v/>
      </c>
      <c r="CH23" s="70" t="str">
        <f>IF($AB23="○",(VLOOKUP($CE23,参照データ!$D$65:$J$82,3,0)),"")</f>
        <v/>
      </c>
      <c r="CI23" s="71" t="str">
        <f t="shared" si="15"/>
        <v/>
      </c>
      <c r="CJ23" s="70" t="str">
        <f>IF($AD23="○",(VLOOKUP($CE23,参照データ!$D$65:$J$82,4,0)),"")</f>
        <v/>
      </c>
      <c r="CK23" s="71" t="str">
        <f t="shared" si="16"/>
        <v/>
      </c>
      <c r="CL23" s="70" t="str">
        <f>IF($AF23="○",(VLOOKUP($CE23,参照データ!$D$65:$J$82,5,0)),"")</f>
        <v/>
      </c>
      <c r="CM23" s="71" t="str">
        <f t="shared" si="6"/>
        <v/>
      </c>
      <c r="CN23" s="70" t="str">
        <f>IF($AH23="○",(VLOOKUP($CE23,参照データ!$D$65:$J$82,6,0)),"")</f>
        <v/>
      </c>
      <c r="CO23" s="71" t="str">
        <f t="shared" si="17"/>
        <v/>
      </c>
      <c r="CP23" s="33" t="str">
        <f t="shared" si="18"/>
        <v/>
      </c>
      <c r="CQ23" s="32" t="str">
        <f t="shared" si="19"/>
        <v/>
      </c>
      <c r="CR23" s="71" t="str">
        <f t="shared" si="20"/>
        <v/>
      </c>
      <c r="CS23" s="682"/>
      <c r="CT23" s="77" t="s">
        <v>96</v>
      </c>
      <c r="CU23" s="78" t="str">
        <f t="shared" si="21"/>
        <v/>
      </c>
      <c r="CV23" s="684"/>
      <c r="CW23" s="308" t="str">
        <f t="shared" ref="CW23" si="55">$CW22</f>
        <v/>
      </c>
      <c r="CX23" s="70"/>
      <c r="CY23" s="172" t="str">
        <f t="shared" si="22"/>
        <v/>
      </c>
      <c r="DA23" s="32"/>
      <c r="DB23" s="161" t="str">
        <f t="shared" si="23"/>
        <v/>
      </c>
      <c r="DC23" s="744"/>
      <c r="DD23" s="164" t="s">
        <v>96</v>
      </c>
      <c r="DE23" s="165" t="str">
        <f t="shared" si="44"/>
        <v/>
      </c>
      <c r="DF23" s="742"/>
      <c r="DG23" t="str">
        <f>IF($DH23="","",DATEDIF($AZ23,参照データ!$D$19,"Y"))</f>
        <v/>
      </c>
      <c r="DH23" s="253" t="str">
        <f>IFERROR(IF($BA23="男子",VLOOKUP($DO23,参照データ!$D$88:$E$117,2,0),$DO23),0)</f>
        <v/>
      </c>
      <c r="DI23" s="84" t="str">
        <f>IF($Z23="選手権",(VLOOKUP($DH23,参照データ!$D$88:$K$117,3,0)),"")</f>
        <v/>
      </c>
      <c r="DJ23" s="85" t="str">
        <f t="shared" si="7"/>
        <v/>
      </c>
      <c r="DK23" s="84" t="str">
        <f>IF($AB23="選手権",(VLOOKUP($DH23,参照データ!$D$88:$K$117,4,0)),"")</f>
        <v/>
      </c>
      <c r="DL23" s="85" t="str">
        <f t="shared" si="8"/>
        <v/>
      </c>
      <c r="DM23" s="84" t="str">
        <f>IF($AD23="選手権",(VLOOKUP($DH23,参照データ!$D$88:$K$117,5,0)),"")</f>
        <v/>
      </c>
      <c r="DN23" s="85" t="str">
        <f t="shared" si="9"/>
        <v/>
      </c>
      <c r="DO23" s="53" t="str">
        <f>IF(AND($AZ23&gt;=参照データ!$C$90,$AZ23&lt;=参照データ!$C$88),1,IF(AND($AZ23&gt;=参照データ!$C$93,$AZ23&lt;=参照データ!$C$91),2,IF(AND($AZ23&gt;=参照データ!$C$99,$AZ23&lt;=参照データ!$C$97),3,IF(AND($AZ23&gt;=参照データ!$C$105,$AZ23&lt;=参照データ!$C$103),4,IF(AND($AZ23&gt;=参照データ!$C$111,$AZ23&lt;=参照データ!$C$109),5,IF(AND($AZ23&gt;0,$AZ23&lt;=参照データ!$C$112),6,""))))))</f>
        <v/>
      </c>
      <c r="DP23" s="84" t="str">
        <f>IF($AF23="選手権",(VLOOKUP($DO23,参照データ!$D$88:$K$117,6,0)),"")</f>
        <v/>
      </c>
      <c r="DQ23" s="85" t="str">
        <f t="shared" si="10"/>
        <v/>
      </c>
      <c r="DR23" s="84" t="str">
        <f>IF($AH23="選手権",(VLOOKUP($DO23,参照データ!$D$88:$K$117,7,0)),"")</f>
        <v/>
      </c>
      <c r="DS23" s="85" t="str">
        <f t="shared" si="24"/>
        <v/>
      </c>
      <c r="DT23" s="33" t="str">
        <f t="shared" si="25"/>
        <v/>
      </c>
      <c r="DU23" s="32" t="str">
        <f t="shared" si="26"/>
        <v/>
      </c>
      <c r="DV23" s="85" t="str">
        <f t="shared" si="27"/>
        <v/>
      </c>
      <c r="DW23" s="733"/>
      <c r="DX23" s="91" t="s">
        <v>96</v>
      </c>
      <c r="DY23" s="92" t="str">
        <f t="shared" si="37"/>
        <v/>
      </c>
      <c r="DZ23" s="735"/>
      <c r="EA23" s="312" t="str">
        <f t="shared" ref="EA23" si="56">$EA22</f>
        <v/>
      </c>
      <c r="EC23" s="491" t="str">
        <f t="shared" si="28"/>
        <v/>
      </c>
      <c r="EH23" s="35">
        <f>(COUNTIF($J23:$O23,"&lt;&gt;"))*参照データ!$E$3</f>
        <v>0</v>
      </c>
      <c r="EI23" s="219" t="str">
        <f>IF(P23="○",参照データ!$E$5,"")</f>
        <v/>
      </c>
      <c r="EJ23" s="219" t="str">
        <f>IF($Y23="○",参照データ!$E$4,"")</f>
        <v/>
      </c>
      <c r="EK23" s="18">
        <f>(SUM(COUNTIF($R23:$V23,{"入門","初級"}))*参照データ!$E$9)+(SUM(COUNTIF($R23:$V23,{"中級","上級"})*参照データ!$E$10))</f>
        <v>0</v>
      </c>
      <c r="EL23" s="18">
        <f>IFERROR(VLOOKUP($W23,参照データ!$D$9:$J$11,7,0),0)</f>
        <v>0</v>
      </c>
      <c r="EM23" s="18">
        <f>((COUNTIF($Z23:$AH23,"○"))*参照データ!$E$12)</f>
        <v>0</v>
      </c>
      <c r="EN23" s="18" t="str">
        <f>(IF($AJ23="○",参照データ!$J$12,""))</f>
        <v/>
      </c>
      <c r="EQ23" s="18">
        <f>((COUNTIF($Z23:$AH23,"選手権"))*参照データ!$E$13)</f>
        <v>0</v>
      </c>
      <c r="ER23" s="18" t="str">
        <f>(IF($AJ23="選手権",参照データ!$J$13,""))</f>
        <v/>
      </c>
      <c r="ES23" s="18">
        <f>(COUNTIF($AQ23:$AR23,"&lt;&gt;"))*参照データ!$H$3</f>
        <v>0</v>
      </c>
      <c r="ET23" s="18"/>
      <c r="EU23" s="18" t="str">
        <f>IF(AV23&lt;&gt;"",参照データ!$H$15,"")</f>
        <v/>
      </c>
      <c r="EV23" s="98" cm="1">
        <f t="array" ref="EV23">SUM(IF(ISERROR(EH23:EU23),0,(EH23:EU23)))</f>
        <v>0</v>
      </c>
      <c r="EW23" s="18"/>
      <c r="EX23" s="18">
        <f t="shared" si="11"/>
        <v>0</v>
      </c>
      <c r="EY23" s="18">
        <f t="shared" si="29"/>
        <v>0</v>
      </c>
      <c r="EZ23" s="18">
        <f t="shared" si="38"/>
        <v>0</v>
      </c>
      <c r="FA23" s="18">
        <f t="shared" si="30"/>
        <v>0</v>
      </c>
      <c r="FB23" s="18">
        <f t="shared" si="31"/>
        <v>0</v>
      </c>
      <c r="FC23" s="18">
        <f t="shared" si="32"/>
        <v>0</v>
      </c>
      <c r="FD23" s="18">
        <f t="shared" si="12"/>
        <v>0</v>
      </c>
      <c r="FE23" t="str">
        <f t="shared" si="33"/>
        <v/>
      </c>
    </row>
    <row r="24" spans="1:161" ht="18.75" customHeight="1" x14ac:dyDescent="0.2">
      <c r="A24">
        <v>13</v>
      </c>
      <c r="B24" s="14" t="str">
        <f>IF(D24="","",IF(D24="重複","",COUNTIF(B$12:$B23,"&gt;0")+1))</f>
        <v/>
      </c>
      <c r="C24" s="464"/>
      <c r="D24" s="177"/>
      <c r="E24" s="177"/>
      <c r="F24" s="31"/>
      <c r="G24" s="41"/>
      <c r="H24" s="351">
        <f t="shared" si="34"/>
        <v>0</v>
      </c>
      <c r="I24" s="193" t="str">
        <f>IF($AZ24=0,"",DATEDIF($AZ24,参照データ!$D$16,"Y"))</f>
        <v/>
      </c>
      <c r="J24" s="36"/>
      <c r="K24" s="36"/>
      <c r="L24" s="36"/>
      <c r="M24" s="36"/>
      <c r="N24" s="36"/>
      <c r="O24" s="42"/>
      <c r="P24" s="345"/>
      <c r="Q24" s="345"/>
      <c r="R24" s="43"/>
      <c r="S24" s="244"/>
      <c r="T24" s="244"/>
      <c r="U24" s="244"/>
      <c r="V24" s="245"/>
      <c r="W24" s="247"/>
      <c r="X24" s="250"/>
      <c r="Y24" s="345"/>
      <c r="Z24" s="388"/>
      <c r="AA24" s="346" t="str">
        <f>IF($Z24="○",VLOOKUP($CE24,参照データ!$D$65:$M$82,9,0),IF($Z24="選手権",VLOOKUP($DH24,参照データ!$D$88:$O$117,10,0),""))</f>
        <v/>
      </c>
      <c r="AB24" s="388"/>
      <c r="AC24" s="346" t="str">
        <f>IF($AB24="○",VLOOKUP($CE24,参照データ!$D$65:$M$82,10,0),IF($AB24="選手権",VLOOKUP($DH24,参照データ!$D$88:$O$117,11,0),""))</f>
        <v/>
      </c>
      <c r="AD24" s="388"/>
      <c r="AE24" s="346" t="str">
        <f>IF($AD24="○",VLOOKUP($CE24,参照データ!$D$65:$M$82,10,0),IF($AD24="選手権",VLOOKUP($DH24,参照データ!$D$88:$O$117,11,0),""))</f>
        <v/>
      </c>
      <c r="AF24" s="388"/>
      <c r="AG24" s="346" t="str">
        <f>IF($AF24="○",VLOOKUP($CE24,参照データ!$D$65:$M$82,10,0),IF($AF24="選手権",VLOOKUP($DO24,参照データ!$D$88:$O$117,12,0),""))</f>
        <v/>
      </c>
      <c r="AH24" s="388"/>
      <c r="AI24" s="346" t="str">
        <f>IF($AH24="○",VLOOKUP($CE24,参照データ!$D$65:$M$82,10,0),IF($AH24="選手権",VLOOKUP($DO24,参照データ!$D$88:$O$117,12,0),""))</f>
        <v/>
      </c>
      <c r="AJ24" s="388"/>
      <c r="AK24" s="511"/>
      <c r="AL24" s="346" t="str">
        <f t="shared" si="3"/>
        <v/>
      </c>
      <c r="AM24" s="392"/>
      <c r="AN24" s="391"/>
      <c r="AO24" s="391"/>
      <c r="AP24" s="447"/>
      <c r="AQ24" s="321"/>
      <c r="AR24" s="481"/>
      <c r="AS24" s="393"/>
      <c r="AT24" s="483"/>
      <c r="AU24" s="393"/>
      <c r="AV24" s="529"/>
      <c r="AW24" s="483"/>
      <c r="AY24" s="1" t="s">
        <v>679</v>
      </c>
      <c r="AZ24">
        <f t="shared" si="50"/>
        <v>0</v>
      </c>
      <c r="BA24" t="str">
        <f t="shared" si="35"/>
        <v/>
      </c>
      <c r="BB24" s="132"/>
      <c r="BD24" s="513" t="str">
        <f t="shared" si="4"/>
        <v/>
      </c>
      <c r="BE24" s="53" t="str">
        <f>IF($AZ24=0,"",IF(AND($I24&gt;=6,$I24&lt;=19),VLOOKUP($I24,参照データ!$B$24:$C$37,2,0),IF($I24&lt;6,6,19)))</f>
        <v/>
      </c>
      <c r="BF24" s="155" t="str">
        <f>IF($J24="○",VLOOKUP($BE24,参照データ!$C$24:$I$37,2,0),"")</f>
        <v/>
      </c>
      <c r="BG24" s="146" t="str">
        <f>IF($K24="○",VLOOKUP($BE24,参照データ!$C$24:$I$37,3,0),"")</f>
        <v/>
      </c>
      <c r="BH24" s="146" t="str">
        <f>IF($L24="○",VLOOKUP($BE24,参照データ!$C$24:$I$37,4,0),"")</f>
        <v/>
      </c>
      <c r="BI24" s="146" t="str">
        <f>IF($M24="○",VLOOKUP($BE24,参照データ!$C$24:$I$37,5,0),"")</f>
        <v/>
      </c>
      <c r="BJ24" s="146" t="str">
        <f>IF($N24="20日",VLOOKUP($BE24,参照データ!$C$24:$I$37,6,0),"")</f>
        <v/>
      </c>
      <c r="BK24" s="156" t="str">
        <f>IF($O24="20日",VLOOKUP($BE24,参照データ!$C$24:$I$37,7,0),"")</f>
        <v/>
      </c>
      <c r="BL24" s="155" t="str">
        <f>IF($J24="21日",VLOOKUP($BE24,参照データ!$C$24:$I$37,2,0),"")</f>
        <v/>
      </c>
      <c r="BM24" s="146" t="str">
        <f>IF($K24="21日",VLOOKUP($BE24,参照データ!$C$24:$I$37,3,0),"")</f>
        <v/>
      </c>
      <c r="BN24" s="146" t="str">
        <f>IF($L24="21日",VLOOKUP($BE24,参照データ!$C$24:$I$37,4,0),"")</f>
        <v/>
      </c>
      <c r="BO24" s="146" t="str">
        <f>IF($M24="21日",VLOOKUP($BE24,参照データ!$C$24:$I$37,5,0),"")</f>
        <v/>
      </c>
      <c r="BP24" s="146" t="str">
        <f>IF($N24="21日",VLOOKUP($BE24,参照データ!$C$24:$I$37,6,0),"")</f>
        <v/>
      </c>
      <c r="BQ24" s="156" t="str">
        <f>IF($O24="21日",VLOOKUP($BE24,参照データ!$C$24:$I$37,7,0),"")</f>
        <v/>
      </c>
      <c r="BR24" s="223" t="str">
        <f t="shared" si="42"/>
        <v/>
      </c>
      <c r="BS24" s="154" t="str">
        <f>IF($R24="入門",VLOOKUP($BE24,参照データ!$C$43:$U$56,2,0),IF($R24="初級",VLOOKUP($BE24,参照データ!$C$43:$U$56,3,0),IF($R24="中級",VLOOKUP($BE24,参照データ!$C$43:$U$56,4,0),IF($R24="上級",VLOOKUP($BE24,参照データ!$C$43:$U$56,5,0),""))))</f>
        <v/>
      </c>
      <c r="BT24" s="154" t="str">
        <f>IF($S24="初級",VLOOKUP($BE24,参照データ!$C$43:$U$56,6,0),IF($S24="中級",VLOOKUP($BE24,参照データ!$C$43:$U$56,7,0),IF($S24="上級",VLOOKUP($BE24,参照データ!$C$43:$U$56,8,0),"")))</f>
        <v/>
      </c>
      <c r="BU24" s="154" t="str">
        <f>IF($T24="初級",VLOOKUP($BE24,参照データ!$C$43:$U$56,9,0),IF($T24="上級",VLOOKUP($BE24,参照データ!$C$43:$U$56,10,0),""))</f>
        <v/>
      </c>
      <c r="BV24" s="154" t="str">
        <f>IF($U24="初級",VLOOKUP($BE24,参照データ!$C$43:$U$56,11,0),IF($U24="中級",VLOOKUP($BE24,参照データ!$C$43:$U$56,12,0),IF($U24="上級",VLOOKUP($BE24,参照データ!$C$43:$U$56,13,0),"")))</f>
        <v/>
      </c>
      <c r="BW24" s="154" t="str">
        <f>IF($V24="初級",VLOOKUP($BE24,参照データ!$C$43:$U$56,14,0),IF($V24="中級",VLOOKUP($BE24,参照データ!$C$43:$U$56,15,0),IF($V24="上級",VLOOKUP($BE24,参照データ!$C$43:$U$56,16,0),"")))</f>
        <v/>
      </c>
      <c r="BX24" s="47" t="str">
        <f t="shared" si="5"/>
        <v/>
      </c>
      <c r="BY24" s="47" t="str">
        <f>IF($W24="初級",VLOOKUP($BE24,参照データ!$C$43:$U$56,17,0),IF($W24="中級",VLOOKUP($BE24,参照データ!$C$43:$U$56,18,0),IF($W24="上級",VLOOKUP($BE24,参照データ!$C$43:$U$56,19,0),"")))</f>
        <v/>
      </c>
      <c r="BZ24" s="686">
        <v>7</v>
      </c>
      <c r="CA24" s="66" t="s">
        <v>236</v>
      </c>
      <c r="CB24" s="136" t="str">
        <f t="shared" si="13"/>
        <v/>
      </c>
      <c r="CC24" s="688" t="str">
        <f t="shared" ref="CC24" si="57">IF(OR($CB24="",$CB25=""),"",IF($CB24&gt;$CB25,$CB24,$CB25))</f>
        <v/>
      </c>
      <c r="CE24" s="53" t="str">
        <f>IF(AND($AZ24&gt;=参照データ!$C$67,$AZ24&lt;=参照データ!$C$65),1,IF(AND($AZ24&gt;=参照データ!$C$70,$AZ24&lt;=参照データ!$C$68),2,IF(AND($AZ24&gt;=参照データ!$C$73,$AZ24&lt;=参照データ!$C$71),3,IF(AND($AZ24&gt;=参照データ!$C$76,$AZ24&lt;=参照データ!$C$74),4,IF(AND($AZ24&gt;=参照データ!$C$79,$AZ24&lt;=参照データ!$C$77),5,IF(AND($AZ24&gt;0,$AZ24&lt;=参照データ!$C$80),6,""))))))</f>
        <v/>
      </c>
      <c r="CF24" s="141" t="str">
        <f>IF($Z24="○",(VLOOKUP($CE24,参照データ!$D$65:$J$82,2,0)),"")</f>
        <v/>
      </c>
      <c r="CG24" s="71" t="str">
        <f t="shared" si="14"/>
        <v/>
      </c>
      <c r="CH24" s="70" t="str">
        <f>IF($AB24="○",(VLOOKUP($CE24,参照データ!$D$65:$J$82,3,0)),"")</f>
        <v/>
      </c>
      <c r="CI24" s="71" t="str">
        <f t="shared" si="15"/>
        <v/>
      </c>
      <c r="CJ24" s="70" t="str">
        <f>IF($AD24="○",(VLOOKUP($CE24,参照データ!$D$65:$J$82,4,0)),"")</f>
        <v/>
      </c>
      <c r="CK24" s="71" t="str">
        <f t="shared" si="16"/>
        <v/>
      </c>
      <c r="CL24" s="70" t="str">
        <f>IF($AF24="○",(VLOOKUP($CE24,参照データ!$D$65:$J$82,5,0)),"")</f>
        <v/>
      </c>
      <c r="CM24" s="71" t="str">
        <f t="shared" si="6"/>
        <v/>
      </c>
      <c r="CN24" s="70" t="str">
        <f>IF($AH24="○",(VLOOKUP($CE24,参照データ!$D$65:$J$82,6,0)),"")</f>
        <v/>
      </c>
      <c r="CO24" s="71" t="str">
        <f t="shared" si="17"/>
        <v/>
      </c>
      <c r="CP24" s="33" t="str">
        <f t="shared" si="18"/>
        <v/>
      </c>
      <c r="CQ24" s="32" t="str">
        <f t="shared" si="19"/>
        <v/>
      </c>
      <c r="CR24" s="71" t="str">
        <f t="shared" si="20"/>
        <v/>
      </c>
      <c r="CS24" s="681">
        <v>7</v>
      </c>
      <c r="CT24" s="79" t="s">
        <v>97</v>
      </c>
      <c r="CU24" s="80" t="str">
        <f t="shared" si="21"/>
        <v/>
      </c>
      <c r="CV24" s="683" t="e">
        <f>IF($CU24&gt;$CU25,VLOOKUP($CU24,参照データ!$D$65:$J$82,7,0),VLOOKUP($CU25,参照データ!$D$65:$J$82,7,0))</f>
        <v>#N/A</v>
      </c>
      <c r="CW24" s="308" t="str">
        <f>IFERROR(VLOOKUP($CV24,参照データ!$J$65:$M$82,4,0),"")</f>
        <v/>
      </c>
      <c r="CX24" s="70"/>
      <c r="CY24" s="172" t="str">
        <f t="shared" si="22"/>
        <v/>
      </c>
      <c r="DA24" s="32"/>
      <c r="DB24" s="161" t="str">
        <f t="shared" si="23"/>
        <v/>
      </c>
      <c r="DC24" s="743">
        <v>7</v>
      </c>
      <c r="DD24" s="166" t="s">
        <v>97</v>
      </c>
      <c r="DE24" s="167" t="str">
        <f t="shared" si="44"/>
        <v/>
      </c>
      <c r="DF24" s="741" t="str">
        <f>IF(OR(DE24="",DE25=""),"",IF(DE24&gt;DE25,DE24,DE25))</f>
        <v/>
      </c>
      <c r="DG24" t="str">
        <f>IF($DH24="","",DATEDIF($AZ24,参照データ!$D$19,"Y"))</f>
        <v/>
      </c>
      <c r="DH24" s="253" t="str">
        <f>IFERROR(IF($BA24="男子",VLOOKUP($DO24,参照データ!$D$88:$E$117,2,0),$DO24),0)</f>
        <v/>
      </c>
      <c r="DI24" s="84" t="str">
        <f>IF($Z24="選手権",(VLOOKUP($DH24,参照データ!$D$88:$K$117,3,0)),"")</f>
        <v/>
      </c>
      <c r="DJ24" s="85" t="str">
        <f t="shared" si="7"/>
        <v/>
      </c>
      <c r="DK24" s="84" t="str">
        <f>IF($AB24="選手権",(VLOOKUP($DH24,参照データ!$D$88:$K$117,4,0)),"")</f>
        <v/>
      </c>
      <c r="DL24" s="85" t="str">
        <f t="shared" si="8"/>
        <v/>
      </c>
      <c r="DM24" s="84" t="str">
        <f>IF($AD24="選手権",(VLOOKUP($DH24,参照データ!$D$88:$K$117,5,0)),"")</f>
        <v/>
      </c>
      <c r="DN24" s="85" t="str">
        <f t="shared" si="9"/>
        <v/>
      </c>
      <c r="DO24" s="53" t="str">
        <f>IF(AND($AZ24&gt;=参照データ!$C$90,$AZ24&lt;=参照データ!$C$88),1,IF(AND($AZ24&gt;=参照データ!$C$93,$AZ24&lt;=参照データ!$C$91),2,IF(AND($AZ24&gt;=参照データ!$C$99,$AZ24&lt;=参照データ!$C$97),3,IF(AND($AZ24&gt;=参照データ!$C$105,$AZ24&lt;=参照データ!$C$103),4,IF(AND($AZ24&gt;=参照データ!$C$111,$AZ24&lt;=参照データ!$C$109),5,IF(AND($AZ24&gt;0,$AZ24&lt;=参照データ!$C$112),6,""))))))</f>
        <v/>
      </c>
      <c r="DP24" s="84" t="str">
        <f>IF($AF24="選手権",(VLOOKUP($DO24,参照データ!$D$88:$K$117,6,0)),"")</f>
        <v/>
      </c>
      <c r="DQ24" s="85" t="str">
        <f t="shared" si="10"/>
        <v/>
      </c>
      <c r="DR24" s="84" t="str">
        <f>IF($AH24="選手権",(VLOOKUP($DO24,参照データ!$D$88:$K$117,7,0)),"")</f>
        <v/>
      </c>
      <c r="DS24" s="85" t="str">
        <f t="shared" si="24"/>
        <v/>
      </c>
      <c r="DT24" s="33" t="str">
        <f t="shared" si="25"/>
        <v/>
      </c>
      <c r="DU24" s="32" t="str">
        <f t="shared" si="26"/>
        <v/>
      </c>
      <c r="DV24" s="85" t="str">
        <f t="shared" si="27"/>
        <v/>
      </c>
      <c r="DW24" s="736">
        <v>7</v>
      </c>
      <c r="DX24" s="93" t="s">
        <v>97</v>
      </c>
      <c r="DY24" s="94" t="str">
        <f t="shared" si="37"/>
        <v/>
      </c>
      <c r="DZ24" s="737" t="e">
        <f>IF($DY24&gt;$DY25,VLOOKUP($DY24,参照データ!$D$88:$K$117,8,0),VLOOKUP($DY25,参照データ!$D$88:$K$117,8,0))</f>
        <v>#N/A</v>
      </c>
      <c r="EA24" s="312" t="str">
        <f>IFERROR(VLOOKUP($DZ24,参照データ!$K$88:$O$117,5,0),"")</f>
        <v/>
      </c>
      <c r="EC24" s="491" t="str">
        <f t="shared" si="28"/>
        <v/>
      </c>
      <c r="EH24" s="35">
        <f>(COUNTIF($J24:$O24,"&lt;&gt;"))*参照データ!$E$3</f>
        <v>0</v>
      </c>
      <c r="EI24" s="219" t="str">
        <f>IF(P24="○",参照データ!$E$5,"")</f>
        <v/>
      </c>
      <c r="EJ24" s="219" t="str">
        <f>IF($Y24="○",参照データ!$E$4,"")</f>
        <v/>
      </c>
      <c r="EK24" s="18">
        <f>(SUM(COUNTIF($R24:$V24,{"入門","初級"}))*参照データ!$E$9)+(SUM(COUNTIF($R24:$V24,{"中級","上級"})*参照データ!$E$10))</f>
        <v>0</v>
      </c>
      <c r="EL24" s="18">
        <f>IFERROR(VLOOKUP($W24,参照データ!$D$9:$J$11,7,0),0)</f>
        <v>0</v>
      </c>
      <c r="EM24" s="18">
        <f>((COUNTIF($Z24:$AH24,"○"))*参照データ!$E$12)</f>
        <v>0</v>
      </c>
      <c r="EN24" s="18" t="str">
        <f>(IF($AJ24="○",参照データ!$J$12,""))</f>
        <v/>
      </c>
      <c r="EQ24" s="18">
        <f>((COUNTIF($Z24:$AH24,"選手権"))*参照データ!$E$13)</f>
        <v>0</v>
      </c>
      <c r="ER24" s="18" t="str">
        <f>(IF($AJ24="選手権",参照データ!$J$13,""))</f>
        <v/>
      </c>
      <c r="ES24" s="18">
        <f>(COUNTIF($AQ24:$AR24,"&lt;&gt;"))*参照データ!$H$3</f>
        <v>0</v>
      </c>
      <c r="ET24" s="18"/>
      <c r="EU24" s="18" t="str">
        <f>IF(AV24&lt;&gt;"",参照データ!$H$15,"")</f>
        <v/>
      </c>
      <c r="EV24" s="98" cm="1">
        <f t="array" ref="EV24">SUM(IF(ISERROR(EH24:EU24),0,(EH24:EU24)))</f>
        <v>0</v>
      </c>
      <c r="EW24" s="18"/>
      <c r="EX24" s="18">
        <f t="shared" si="11"/>
        <v>0</v>
      </c>
      <c r="EY24" s="18">
        <f t="shared" si="29"/>
        <v>0</v>
      </c>
      <c r="EZ24" s="18">
        <f t="shared" si="38"/>
        <v>0</v>
      </c>
      <c r="FA24" s="18">
        <f t="shared" si="30"/>
        <v>0</v>
      </c>
      <c r="FB24" s="18">
        <f>COUNTIF($Z24:$AN24,"○")</f>
        <v>0</v>
      </c>
      <c r="FC24" s="18">
        <f>COUNTIF($Z24:$AJ24,"選手権")</f>
        <v>0</v>
      </c>
      <c r="FD24" s="18">
        <f t="shared" si="12"/>
        <v>0</v>
      </c>
      <c r="FE24" t="str">
        <f t="shared" si="33"/>
        <v/>
      </c>
    </row>
    <row r="25" spans="1:161" ht="18.75" customHeight="1" x14ac:dyDescent="0.2">
      <c r="A25">
        <v>14</v>
      </c>
      <c r="B25" s="14" t="str">
        <f>IF(D25="","",IF(D25="重複","",COUNTIF(B$12:$B24,"&gt;0")+1))</f>
        <v/>
      </c>
      <c r="C25" s="464"/>
      <c r="D25" s="177"/>
      <c r="E25" s="177"/>
      <c r="F25" s="31"/>
      <c r="G25" s="41"/>
      <c r="H25" s="351">
        <f t="shared" si="34"/>
        <v>0</v>
      </c>
      <c r="I25" s="193" t="str">
        <f>IF($AZ25=0,"",DATEDIF($AZ25,参照データ!$D$16,"Y"))</f>
        <v/>
      </c>
      <c r="J25" s="36"/>
      <c r="K25" s="36"/>
      <c r="L25" s="36"/>
      <c r="M25" s="36"/>
      <c r="N25" s="36"/>
      <c r="O25" s="42"/>
      <c r="P25" s="345"/>
      <c r="Q25" s="345"/>
      <c r="R25" s="43"/>
      <c r="S25" s="244"/>
      <c r="T25" s="244"/>
      <c r="U25" s="244"/>
      <c r="V25" s="245"/>
      <c r="W25" s="247"/>
      <c r="X25" s="250"/>
      <c r="Y25" s="345"/>
      <c r="Z25" s="388"/>
      <c r="AA25" s="346" t="str">
        <f>IF($Z25="○",VLOOKUP($CE25,参照データ!$D$65:$M$82,9,0),IF($Z25="選手権",VLOOKUP($DH25,参照データ!$D$88:$O$117,10,0),""))</f>
        <v/>
      </c>
      <c r="AB25" s="388"/>
      <c r="AC25" s="346" t="str">
        <f>IF($AB25="○",VLOOKUP($CE25,参照データ!$D$65:$M$82,10,0),IF($AB25="選手権",VLOOKUP($DH25,参照データ!$D$88:$O$117,11,0),""))</f>
        <v/>
      </c>
      <c r="AD25" s="388"/>
      <c r="AE25" s="346" t="str">
        <f>IF($AD25="○",VLOOKUP($CE25,参照データ!$D$65:$M$82,10,0),IF($AD25="選手権",VLOOKUP($DH25,参照データ!$D$88:$O$117,11,0),""))</f>
        <v/>
      </c>
      <c r="AF25" s="388"/>
      <c r="AG25" s="346" t="str">
        <f>IF($AF25="○",VLOOKUP($CE25,参照データ!$D$65:$M$82,10,0),IF($AF25="選手権",VLOOKUP($DO25,参照データ!$D$88:$O$117,12,0),""))</f>
        <v/>
      </c>
      <c r="AH25" s="388"/>
      <c r="AI25" s="346" t="str">
        <f>IF($AH25="○",VLOOKUP($CE25,参照データ!$D$65:$M$82,10,0),IF($AH25="選手権",VLOOKUP($DO25,参照データ!$D$88:$O$117,12,0),""))</f>
        <v/>
      </c>
      <c r="AJ25" s="388"/>
      <c r="AK25" s="511"/>
      <c r="AL25" s="346" t="str">
        <f t="shared" si="3"/>
        <v/>
      </c>
      <c r="AM25" s="392"/>
      <c r="AN25" s="391"/>
      <c r="AO25" s="391"/>
      <c r="AP25" s="447"/>
      <c r="AQ25" s="321"/>
      <c r="AR25" s="481"/>
      <c r="AS25" s="393"/>
      <c r="AT25" s="483"/>
      <c r="AU25" s="393"/>
      <c r="AV25" s="529"/>
      <c r="AW25" s="483"/>
      <c r="AZ25">
        <f t="shared" si="50"/>
        <v>0</v>
      </c>
      <c r="BA25" t="str">
        <f t="shared" si="35"/>
        <v/>
      </c>
      <c r="BB25" s="132"/>
      <c r="BD25" s="513" t="str">
        <f t="shared" si="4"/>
        <v/>
      </c>
      <c r="BE25" s="53" t="str">
        <f>IF($AZ25=0,"",IF(AND($I25&gt;=6,$I25&lt;=19),VLOOKUP($I25,参照データ!$B$24:$C$37,2,0),IF($I25&lt;6,6,19)))</f>
        <v/>
      </c>
      <c r="BF25" s="155" t="str">
        <f>IF($J25="○",VLOOKUP($BE25,参照データ!$C$24:$I$37,2,0),"")</f>
        <v/>
      </c>
      <c r="BG25" s="146" t="str">
        <f>IF($K25="○",VLOOKUP($BE25,参照データ!$C$24:$I$37,3,0),"")</f>
        <v/>
      </c>
      <c r="BH25" s="146" t="str">
        <f>IF($L25="○",VLOOKUP($BE25,参照データ!$C$24:$I$37,4,0),"")</f>
        <v/>
      </c>
      <c r="BI25" s="146" t="str">
        <f>IF($M25="○",VLOOKUP($BE25,参照データ!$C$24:$I$37,5,0),"")</f>
        <v/>
      </c>
      <c r="BJ25" s="146" t="str">
        <f>IF($N25="20日",VLOOKUP($BE25,参照データ!$C$24:$I$37,6,0),"")</f>
        <v/>
      </c>
      <c r="BK25" s="156" t="str">
        <f>IF($O25="20日",VLOOKUP($BE25,参照データ!$C$24:$I$37,7,0),"")</f>
        <v/>
      </c>
      <c r="BL25" s="155" t="str">
        <f>IF($J25="21日",VLOOKUP($BE25,参照データ!$C$24:$I$37,2,0),"")</f>
        <v/>
      </c>
      <c r="BM25" s="146" t="str">
        <f>IF($K25="21日",VLOOKUP($BE25,参照データ!$C$24:$I$37,3,0),"")</f>
        <v/>
      </c>
      <c r="BN25" s="146" t="str">
        <f>IF($L25="21日",VLOOKUP($BE25,参照データ!$C$24:$I$37,4,0),"")</f>
        <v/>
      </c>
      <c r="BO25" s="146" t="str">
        <f>IF($M25="21日",VLOOKUP($BE25,参照データ!$C$24:$I$37,5,0),"")</f>
        <v/>
      </c>
      <c r="BP25" s="146" t="str">
        <f>IF($N25="21日",VLOOKUP($BE25,参照データ!$C$24:$I$37,6,0),"")</f>
        <v/>
      </c>
      <c r="BQ25" s="156" t="str">
        <f>IF($O25="21日",VLOOKUP($BE25,参照データ!$C$24:$I$37,7,0),"")</f>
        <v/>
      </c>
      <c r="BR25" s="223" t="str">
        <f t="shared" si="42"/>
        <v/>
      </c>
      <c r="BS25" s="154" t="str">
        <f>IF($R25="入門",VLOOKUP($BE25,参照データ!$C$43:$U$56,2,0),IF($R25="初級",VLOOKUP($BE25,参照データ!$C$43:$U$56,3,0),IF($R25="中級",VLOOKUP($BE25,参照データ!$C$43:$U$56,4,0),IF($R25="上級",VLOOKUP($BE25,参照データ!$C$43:$U$56,5,0),""))))</f>
        <v/>
      </c>
      <c r="BT25" s="154" t="str">
        <f>IF($S25="初級",VLOOKUP($BE25,参照データ!$C$43:$U$56,6,0),IF($S25="中級",VLOOKUP($BE25,参照データ!$C$43:$U$56,7,0),IF($S25="上級",VLOOKUP($BE25,参照データ!$C$43:$U$56,8,0),"")))</f>
        <v/>
      </c>
      <c r="BU25" s="154" t="str">
        <f>IF($T25="初級",VLOOKUP($BE25,参照データ!$C$43:$U$56,9,0),IF($T25="上級",VLOOKUP($BE25,参照データ!$C$43:$U$56,10,0),""))</f>
        <v/>
      </c>
      <c r="BV25" s="154" t="str">
        <f>IF($U25="初級",VLOOKUP($BE25,参照データ!$C$43:$U$56,11,0),IF($U25="中級",VLOOKUP($BE25,参照データ!$C$43:$U$56,12,0),IF($U25="上級",VLOOKUP($BE25,参照データ!$C$43:$U$56,13,0),"")))</f>
        <v/>
      </c>
      <c r="BW25" s="154" t="str">
        <f>IF($V25="初級",VLOOKUP($BE25,参照データ!$C$43:$U$56,14,0),IF($V25="中級",VLOOKUP($BE25,参照データ!$C$43:$U$56,15,0),IF($V25="上級",VLOOKUP($BE25,参照データ!$C$43:$U$56,16,0),"")))</f>
        <v/>
      </c>
      <c r="BX25" s="47" t="str">
        <f t="shared" si="5"/>
        <v/>
      </c>
      <c r="BY25" s="47" t="str">
        <f>IF($W25="初級",VLOOKUP($BE25,参照データ!$C$43:$U$56,17,0),IF($W25="中級",VLOOKUP($BE25,参照データ!$C$43:$U$56,18,0),IF($W25="上級",VLOOKUP($BE25,参照データ!$C$43:$U$56,19,0),"")))</f>
        <v/>
      </c>
      <c r="BZ25" s="687"/>
      <c r="CA25" s="65" t="s">
        <v>237</v>
      </c>
      <c r="CB25" s="135" t="str">
        <f t="shared" si="13"/>
        <v/>
      </c>
      <c r="CC25" s="689"/>
      <c r="CE25" s="53" t="str">
        <f>IF(AND($AZ25&gt;=参照データ!$C$67,$AZ25&lt;=参照データ!$C$65),1,IF(AND($AZ25&gt;=参照データ!$C$70,$AZ25&lt;=参照データ!$C$68),2,IF(AND($AZ25&gt;=参照データ!$C$73,$AZ25&lt;=参照データ!$C$71),3,IF(AND($AZ25&gt;=参照データ!$C$76,$AZ25&lt;=参照データ!$C$74),4,IF(AND($AZ25&gt;=参照データ!$C$79,$AZ25&lt;=参照データ!$C$77),5,IF(AND($AZ25&gt;0,$AZ25&lt;=参照データ!$C$80),6,""))))))</f>
        <v/>
      </c>
      <c r="CF25" s="141" t="str">
        <f>IF($Z25="○",(VLOOKUP($CE25,参照データ!$D$65:$J$82,2,0)),"")</f>
        <v/>
      </c>
      <c r="CG25" s="71" t="str">
        <f t="shared" si="14"/>
        <v/>
      </c>
      <c r="CH25" s="70" t="str">
        <f>IF($AB25="○",(VLOOKUP($CE25,参照データ!$D$65:$J$82,3,0)),"")</f>
        <v/>
      </c>
      <c r="CI25" s="71" t="str">
        <f t="shared" si="15"/>
        <v/>
      </c>
      <c r="CJ25" s="70" t="str">
        <f>IF($AD25="○",(VLOOKUP($CE25,参照データ!$D$65:$J$82,4,0)),"")</f>
        <v/>
      </c>
      <c r="CK25" s="71" t="str">
        <f t="shared" si="16"/>
        <v/>
      </c>
      <c r="CL25" s="70" t="str">
        <f>IF($AF25="○",(VLOOKUP($CE25,参照データ!$D$65:$J$82,5,0)),"")</f>
        <v/>
      </c>
      <c r="CM25" s="71" t="str">
        <f t="shared" si="6"/>
        <v/>
      </c>
      <c r="CN25" s="70" t="str">
        <f>IF($AH25="○",(VLOOKUP($CE25,参照データ!$D$65:$J$82,6,0)),"")</f>
        <v/>
      </c>
      <c r="CO25" s="71" t="str">
        <f t="shared" si="17"/>
        <v/>
      </c>
      <c r="CP25" s="33" t="str">
        <f t="shared" si="18"/>
        <v/>
      </c>
      <c r="CQ25" s="32" t="str">
        <f t="shared" si="19"/>
        <v/>
      </c>
      <c r="CR25" s="71" t="str">
        <f t="shared" si="20"/>
        <v/>
      </c>
      <c r="CS25" s="682"/>
      <c r="CT25" s="77" t="s">
        <v>98</v>
      </c>
      <c r="CU25" s="78" t="str">
        <f t="shared" si="21"/>
        <v/>
      </c>
      <c r="CV25" s="684"/>
      <c r="CW25" s="308" t="str">
        <f t="shared" ref="CW25" si="58">$CW24</f>
        <v/>
      </c>
      <c r="CX25" s="70"/>
      <c r="CY25" s="172" t="str">
        <f t="shared" si="22"/>
        <v/>
      </c>
      <c r="DA25" s="32"/>
      <c r="DB25" s="161" t="str">
        <f t="shared" si="23"/>
        <v/>
      </c>
      <c r="DC25" s="744"/>
      <c r="DD25" s="164" t="s">
        <v>98</v>
      </c>
      <c r="DE25" s="165" t="str">
        <f t="shared" si="44"/>
        <v/>
      </c>
      <c r="DF25" s="742"/>
      <c r="DG25" t="str">
        <f>IF($DH25="","",DATEDIF($AZ25,参照データ!$D$19,"Y"))</f>
        <v/>
      </c>
      <c r="DH25" s="253" t="str">
        <f>IFERROR(IF($BA25="男子",VLOOKUP($DO25,参照データ!$D$88:$E$117,2,0),$DO25),0)</f>
        <v/>
      </c>
      <c r="DI25" s="84" t="str">
        <f>IF($Z25="選手権",(VLOOKUP($DH25,参照データ!$D$88:$K$117,3,0)),"")</f>
        <v/>
      </c>
      <c r="DJ25" s="85" t="str">
        <f t="shared" si="7"/>
        <v/>
      </c>
      <c r="DK25" s="84" t="str">
        <f>IF($AB25="選手権",(VLOOKUP($DH25,参照データ!$D$88:$K$117,4,0)),"")</f>
        <v/>
      </c>
      <c r="DL25" s="85" t="str">
        <f t="shared" si="8"/>
        <v/>
      </c>
      <c r="DM25" s="84" t="str">
        <f>IF($AD25="選手権",(VLOOKUP($DH25,参照データ!$D$88:$K$117,5,0)),"")</f>
        <v/>
      </c>
      <c r="DN25" s="85" t="str">
        <f t="shared" si="9"/>
        <v/>
      </c>
      <c r="DO25" s="53" t="str">
        <f>IF(AND($AZ25&gt;=参照データ!$C$90,$AZ25&lt;=参照データ!$C$88),1,IF(AND($AZ25&gt;=参照データ!$C$93,$AZ25&lt;=参照データ!$C$91),2,IF(AND($AZ25&gt;=参照データ!$C$99,$AZ25&lt;=参照データ!$C$97),3,IF(AND($AZ25&gt;=参照データ!$C$105,$AZ25&lt;=参照データ!$C$103),4,IF(AND($AZ25&gt;=参照データ!$C$111,$AZ25&lt;=参照データ!$C$109),5,IF(AND($AZ25&gt;0,$AZ25&lt;=参照データ!$C$112),6,""))))))</f>
        <v/>
      </c>
      <c r="DP25" s="84" t="str">
        <f>IF($AF25="選手権",(VLOOKUP($DO25,参照データ!$D$88:$K$117,6,0)),"")</f>
        <v/>
      </c>
      <c r="DQ25" s="85" t="str">
        <f t="shared" si="10"/>
        <v/>
      </c>
      <c r="DR25" s="84" t="str">
        <f>IF($AH25="選手権",(VLOOKUP($DO25,参照データ!$D$88:$K$117,7,0)),"")</f>
        <v/>
      </c>
      <c r="DS25" s="85" t="str">
        <f t="shared" si="24"/>
        <v/>
      </c>
      <c r="DT25" s="33" t="str">
        <f t="shared" si="25"/>
        <v/>
      </c>
      <c r="DU25" s="32" t="str">
        <f t="shared" si="26"/>
        <v/>
      </c>
      <c r="DV25" s="85" t="str">
        <f t="shared" si="27"/>
        <v/>
      </c>
      <c r="DW25" s="733"/>
      <c r="DX25" s="91" t="s">
        <v>98</v>
      </c>
      <c r="DY25" s="92" t="str">
        <f t="shared" si="37"/>
        <v/>
      </c>
      <c r="DZ25" s="735"/>
      <c r="EA25" s="312" t="str">
        <f t="shared" ref="EA25" si="59">$EA24</f>
        <v/>
      </c>
      <c r="EC25" s="491" t="str">
        <f t="shared" si="28"/>
        <v/>
      </c>
      <c r="EH25" s="35">
        <f>(COUNTIF($J25:$O25,"&lt;&gt;"))*参照データ!$E$3</f>
        <v>0</v>
      </c>
      <c r="EI25" s="219" t="str">
        <f>IF(P25="○",参照データ!$E$5,"")</f>
        <v/>
      </c>
      <c r="EJ25" s="219" t="str">
        <f>IF($Y25="○",参照データ!$E$4,"")</f>
        <v/>
      </c>
      <c r="EK25" s="18">
        <f>(SUM(COUNTIF($R25:$V25,{"入門","初級"}))*参照データ!$E$9)+(SUM(COUNTIF($R25:$V25,{"中級","上級"})*参照データ!$E$10))</f>
        <v>0</v>
      </c>
      <c r="EL25" s="18">
        <f>IFERROR(VLOOKUP($W25,参照データ!$D$9:$J$11,7,0),0)</f>
        <v>0</v>
      </c>
      <c r="EM25" s="18">
        <f>((COUNTIF($Z25:$AH25,"○"))*参照データ!$E$12)</f>
        <v>0</v>
      </c>
      <c r="EN25" s="18" t="str">
        <f>(IF($AJ25="○",参照データ!$J$12,""))</f>
        <v/>
      </c>
      <c r="EQ25" s="18">
        <f>((COUNTIF($Z25:$AH25,"選手権"))*参照データ!$E$13)</f>
        <v>0</v>
      </c>
      <c r="ER25" s="18" t="str">
        <f>(IF($AJ25="選手権",参照データ!$J$13,""))</f>
        <v/>
      </c>
      <c r="ES25" s="18">
        <f>(COUNTIF($AQ25:$AR25,"&lt;&gt;"))*参照データ!$H$3</f>
        <v>0</v>
      </c>
      <c r="ET25" s="18"/>
      <c r="EU25" s="18" t="str">
        <f>IF(AV25&lt;&gt;"",参照データ!$H$15,"")</f>
        <v/>
      </c>
      <c r="EV25" s="98" cm="1">
        <f t="array" ref="EV25">SUM(IF(ISERROR(EH25:EU25),0,(EH25:EU25)))</f>
        <v>0</v>
      </c>
      <c r="EW25" s="18"/>
      <c r="EX25" s="18">
        <f t="shared" si="11"/>
        <v>0</v>
      </c>
      <c r="EY25" s="18">
        <f t="shared" si="29"/>
        <v>0</v>
      </c>
      <c r="EZ25" s="18">
        <f t="shared" si="38"/>
        <v>0</v>
      </c>
      <c r="FA25" s="18">
        <f t="shared" si="30"/>
        <v>0</v>
      </c>
      <c r="FB25" s="18">
        <f t="shared" si="31"/>
        <v>0</v>
      </c>
      <c r="FC25" s="18">
        <f t="shared" si="32"/>
        <v>0</v>
      </c>
      <c r="FD25" s="18">
        <f t="shared" si="12"/>
        <v>0</v>
      </c>
      <c r="FE25" t="str">
        <f t="shared" si="33"/>
        <v/>
      </c>
    </row>
    <row r="26" spans="1:161" ht="18.75" customHeight="1" x14ac:dyDescent="0.2">
      <c r="A26">
        <v>15</v>
      </c>
      <c r="B26" s="14" t="str">
        <f>IF(D26="","",IF(D26="重複","",COUNTIF(B$12:$B25,"&gt;0")+1))</f>
        <v/>
      </c>
      <c r="C26" s="464"/>
      <c r="D26" s="177"/>
      <c r="E26" s="177"/>
      <c r="F26" s="31"/>
      <c r="G26" s="41"/>
      <c r="H26" s="351">
        <f t="shared" si="34"/>
        <v>0</v>
      </c>
      <c r="I26" s="193" t="str">
        <f>IF($AZ26=0,"",DATEDIF($AZ26,参照データ!$D$16,"Y"))</f>
        <v/>
      </c>
      <c r="J26" s="36"/>
      <c r="K26" s="36"/>
      <c r="L26" s="36"/>
      <c r="M26" s="36"/>
      <c r="N26" s="36"/>
      <c r="O26" s="42"/>
      <c r="P26" s="345"/>
      <c r="Q26" s="345"/>
      <c r="R26" s="43"/>
      <c r="S26" s="244"/>
      <c r="T26" s="244"/>
      <c r="U26" s="244"/>
      <c r="V26" s="245"/>
      <c r="W26" s="247"/>
      <c r="X26" s="250"/>
      <c r="Y26" s="345"/>
      <c r="Z26" s="388"/>
      <c r="AA26" s="346" t="str">
        <f>IF($Z26="○",VLOOKUP($CE26,参照データ!$D$65:$M$82,9,0),IF($Z26="選手権",VLOOKUP($DH26,参照データ!$D$88:$O$117,10,0),""))</f>
        <v/>
      </c>
      <c r="AB26" s="388"/>
      <c r="AC26" s="346" t="str">
        <f>IF($AB26="○",VLOOKUP($CE26,参照データ!$D$65:$M$82,10,0),IF($AB26="選手権",VLOOKUP($DH26,参照データ!$D$88:$O$117,11,0),""))</f>
        <v/>
      </c>
      <c r="AD26" s="388"/>
      <c r="AE26" s="346" t="str">
        <f>IF($AD26="○",VLOOKUP($CE26,参照データ!$D$65:$M$82,10,0),IF($AD26="選手権",VLOOKUP($DH26,参照データ!$D$88:$O$117,11,0),""))</f>
        <v/>
      </c>
      <c r="AF26" s="388"/>
      <c r="AG26" s="346" t="str">
        <f>IF($AF26="○",VLOOKUP($CE26,参照データ!$D$65:$M$82,10,0),IF($AF26="選手権",VLOOKUP($DO26,参照データ!$D$88:$O$117,12,0),""))</f>
        <v/>
      </c>
      <c r="AH26" s="388"/>
      <c r="AI26" s="346" t="str">
        <f>IF($AH26="○",VLOOKUP($CE26,参照データ!$D$65:$M$82,10,0),IF($AH26="選手権",VLOOKUP($DO26,参照データ!$D$88:$O$117,12,0),""))</f>
        <v/>
      </c>
      <c r="AJ26" s="388"/>
      <c r="AK26" s="511"/>
      <c r="AL26" s="346" t="str">
        <f t="shared" si="3"/>
        <v/>
      </c>
      <c r="AM26" s="392"/>
      <c r="AN26" s="391"/>
      <c r="AO26" s="391"/>
      <c r="AP26" s="447"/>
      <c r="AQ26" s="321"/>
      <c r="AR26" s="481"/>
      <c r="AS26" s="393"/>
      <c r="AT26" s="483"/>
      <c r="AU26" s="393"/>
      <c r="AV26" s="529"/>
      <c r="AW26" s="483"/>
      <c r="AZ26">
        <f t="shared" si="50"/>
        <v>0</v>
      </c>
      <c r="BA26" t="str">
        <f t="shared" si="35"/>
        <v/>
      </c>
      <c r="BB26" s="132"/>
      <c r="BD26" s="513" t="str">
        <f t="shared" si="4"/>
        <v/>
      </c>
      <c r="BE26" s="53" t="str">
        <f>IF($AZ26=0,"",IF(AND($I26&gt;=6,$I26&lt;=19),VLOOKUP($I26,参照データ!$B$24:$C$37,2,0),IF($I26&lt;6,6,19)))</f>
        <v/>
      </c>
      <c r="BF26" s="155" t="str">
        <f>IF($J26="○",VLOOKUP($BE26,参照データ!$C$24:$I$37,2,0),"")</f>
        <v/>
      </c>
      <c r="BG26" s="146" t="str">
        <f>IF($K26="○",VLOOKUP($BE26,参照データ!$C$24:$I$37,3,0),"")</f>
        <v/>
      </c>
      <c r="BH26" s="146" t="str">
        <f>IF($L26="○",VLOOKUP($BE26,参照データ!$C$24:$I$37,4,0),"")</f>
        <v/>
      </c>
      <c r="BI26" s="146" t="str">
        <f>IF($M26="○",VLOOKUP($BE26,参照データ!$C$24:$I$37,5,0),"")</f>
        <v/>
      </c>
      <c r="BJ26" s="146" t="str">
        <f>IF($N26="20日",VLOOKUP($BE26,参照データ!$C$24:$I$37,6,0),"")</f>
        <v/>
      </c>
      <c r="BK26" s="156" t="str">
        <f>IF($O26="20日",VLOOKUP($BE26,参照データ!$C$24:$I$37,7,0),"")</f>
        <v/>
      </c>
      <c r="BL26" s="155" t="str">
        <f>IF($J26="21日",VLOOKUP($BE26,参照データ!$C$24:$I$37,2,0),"")</f>
        <v/>
      </c>
      <c r="BM26" s="146" t="str">
        <f>IF($K26="21日",VLOOKUP($BE26,参照データ!$C$24:$I$37,3,0),"")</f>
        <v/>
      </c>
      <c r="BN26" s="146" t="str">
        <f>IF($L26="21日",VLOOKUP($BE26,参照データ!$C$24:$I$37,4,0),"")</f>
        <v/>
      </c>
      <c r="BO26" s="146" t="str">
        <f>IF($M26="21日",VLOOKUP($BE26,参照データ!$C$24:$I$37,5,0),"")</f>
        <v/>
      </c>
      <c r="BP26" s="146" t="str">
        <f>IF($N26="21日",VLOOKUP($BE26,参照データ!$C$24:$I$37,6,0),"")</f>
        <v/>
      </c>
      <c r="BQ26" s="156" t="str">
        <f>IF($O26="21日",VLOOKUP($BE26,参照データ!$C$24:$I$37,7,0),"")</f>
        <v/>
      </c>
      <c r="BR26" s="223" t="str">
        <f t="shared" si="42"/>
        <v/>
      </c>
      <c r="BS26" s="154" t="str">
        <f>IF($R26="入門",VLOOKUP($BE26,参照データ!$C$43:$U$56,2,0),IF($R26="初級",VLOOKUP($BE26,参照データ!$C$43:$U$56,3,0),IF($R26="中級",VLOOKUP($BE26,参照データ!$C$43:$U$56,4,0),IF($R26="上級",VLOOKUP($BE26,参照データ!$C$43:$U$56,5,0),""))))</f>
        <v/>
      </c>
      <c r="BT26" s="154" t="str">
        <f>IF($S26="初級",VLOOKUP($BE26,参照データ!$C$43:$U$56,6,0),IF($S26="中級",VLOOKUP($BE26,参照データ!$C$43:$U$56,7,0),IF($S26="上級",VLOOKUP($BE26,参照データ!$C$43:$U$56,8,0),"")))</f>
        <v/>
      </c>
      <c r="BU26" s="154" t="str">
        <f>IF($T26="初級",VLOOKUP($BE26,参照データ!$C$43:$U$56,9,0),IF($T26="上級",VLOOKUP($BE26,参照データ!$C$43:$U$56,10,0),""))</f>
        <v/>
      </c>
      <c r="BV26" s="154" t="str">
        <f>IF($U26="初級",VLOOKUP($BE26,参照データ!$C$43:$U$56,11,0),IF($U26="中級",VLOOKUP($BE26,参照データ!$C$43:$U$56,12,0),IF($U26="上級",VLOOKUP($BE26,参照データ!$C$43:$U$56,13,0),"")))</f>
        <v/>
      </c>
      <c r="BW26" s="154" t="str">
        <f>IF($V26="初級",VLOOKUP($BE26,参照データ!$C$43:$U$56,14,0),IF($V26="中級",VLOOKUP($BE26,参照データ!$C$43:$U$56,15,0),IF($V26="上級",VLOOKUP($BE26,参照データ!$C$43:$U$56,16,0),"")))</f>
        <v/>
      </c>
      <c r="BX26" s="47" t="str">
        <f t="shared" si="5"/>
        <v/>
      </c>
      <c r="BY26" s="47" t="str">
        <f>IF($W26="初級",VLOOKUP($BE26,参照データ!$C$43:$U$56,17,0),IF($W26="中級",VLOOKUP($BE26,参照データ!$C$43:$U$56,18,0),IF($W26="上級",VLOOKUP($BE26,参照データ!$C$43:$U$56,19,0),"")))</f>
        <v/>
      </c>
      <c r="BZ26" s="686">
        <v>8</v>
      </c>
      <c r="CA26" s="66" t="s">
        <v>238</v>
      </c>
      <c r="CB26" s="136" t="str">
        <f t="shared" si="13"/>
        <v/>
      </c>
      <c r="CC26" s="688" t="str">
        <f t="shared" ref="CC26" si="60">IF(OR($CB26="",$CB27=""),"",IF($CB26&gt;$CB27,$CB26,$CB27))</f>
        <v/>
      </c>
      <c r="CE26" s="53" t="str">
        <f>IF(AND($AZ26&gt;=参照データ!$C$67,$AZ26&lt;=参照データ!$C$65),1,IF(AND($AZ26&gt;=参照データ!$C$70,$AZ26&lt;=参照データ!$C$68),2,IF(AND($AZ26&gt;=参照データ!$C$73,$AZ26&lt;=参照データ!$C$71),3,IF(AND($AZ26&gt;=参照データ!$C$76,$AZ26&lt;=参照データ!$C$74),4,IF(AND($AZ26&gt;=参照データ!$C$79,$AZ26&lt;=参照データ!$C$77),5,IF(AND($AZ26&gt;0,$AZ26&lt;=参照データ!$C$80),6,""))))))</f>
        <v/>
      </c>
      <c r="CF26" s="141" t="str">
        <f>IF($Z26="○",(VLOOKUP($CE26,参照データ!$D$65:$J$82,2,0)),"")</f>
        <v/>
      </c>
      <c r="CG26" s="71" t="str">
        <f t="shared" si="14"/>
        <v/>
      </c>
      <c r="CH26" s="70" t="str">
        <f>IF($AB26="○",(VLOOKUP($CE26,参照データ!$D$65:$J$82,3,0)),"")</f>
        <v/>
      </c>
      <c r="CI26" s="71" t="str">
        <f t="shared" si="15"/>
        <v/>
      </c>
      <c r="CJ26" s="70" t="str">
        <f>IF($AD26="○",(VLOOKUP($CE26,参照データ!$D$65:$J$82,4,0)),"")</f>
        <v/>
      </c>
      <c r="CK26" s="71" t="str">
        <f t="shared" si="16"/>
        <v/>
      </c>
      <c r="CL26" s="70" t="str">
        <f>IF($AF26="○",(VLOOKUP($CE26,参照データ!$D$65:$J$82,5,0)),"")</f>
        <v/>
      </c>
      <c r="CM26" s="71" t="str">
        <f t="shared" si="6"/>
        <v/>
      </c>
      <c r="CN26" s="70" t="str">
        <f>IF($AH26="○",(VLOOKUP($CE26,参照データ!$D$65:$J$82,6,0)),"")</f>
        <v/>
      </c>
      <c r="CO26" s="71" t="str">
        <f t="shared" si="17"/>
        <v/>
      </c>
      <c r="CP26" s="33" t="str">
        <f t="shared" si="18"/>
        <v/>
      </c>
      <c r="CQ26" s="32" t="str">
        <f t="shared" si="19"/>
        <v/>
      </c>
      <c r="CR26" s="71" t="str">
        <f t="shared" si="20"/>
        <v/>
      </c>
      <c r="CS26" s="681">
        <v>8</v>
      </c>
      <c r="CT26" s="79" t="s">
        <v>99</v>
      </c>
      <c r="CU26" s="80" t="str">
        <f t="shared" si="21"/>
        <v/>
      </c>
      <c r="CV26" s="683" t="e">
        <f>IF($CU26&gt;$CU27,VLOOKUP($CU26,参照データ!$D$65:$J$82,7,0),VLOOKUP($CU27,参照データ!$D$65:$J$82,7,0))</f>
        <v>#N/A</v>
      </c>
      <c r="CW26" s="308" t="str">
        <f>IFERROR(VLOOKUP($CV26,参照データ!$J$65:$M$82,4,0),"")</f>
        <v/>
      </c>
      <c r="CX26" s="70"/>
      <c r="CY26" s="172" t="str">
        <f t="shared" si="22"/>
        <v/>
      </c>
      <c r="DA26" s="32"/>
      <c r="DB26" s="161" t="str">
        <f t="shared" si="23"/>
        <v/>
      </c>
      <c r="DC26" s="743">
        <v>8</v>
      </c>
      <c r="DD26" s="166" t="s">
        <v>99</v>
      </c>
      <c r="DE26" s="167" t="str">
        <f t="shared" si="44"/>
        <v/>
      </c>
      <c r="DF26" s="741" t="str">
        <f>IF(OR(DE26="",DE27=""),"",IF(DE26&gt;DE27,DE26,DE27))</f>
        <v/>
      </c>
      <c r="DG26" t="str">
        <f>IF($DH26="","",DATEDIF($AZ26,参照データ!$D$19,"Y"))</f>
        <v/>
      </c>
      <c r="DH26" s="253" t="str">
        <f>IFERROR(IF($BA26="男子",VLOOKUP($DO26,参照データ!$D$88:$E$117,2,0),$DO26),0)</f>
        <v/>
      </c>
      <c r="DI26" s="84" t="str">
        <f>IF($Z26="選手権",(VLOOKUP($DH26,参照データ!$D$88:$K$117,3,0)),"")</f>
        <v/>
      </c>
      <c r="DJ26" s="85" t="str">
        <f t="shared" si="7"/>
        <v/>
      </c>
      <c r="DK26" s="84" t="str">
        <f>IF($AB26="選手権",(VLOOKUP($DH26,参照データ!$D$88:$K$117,4,0)),"")</f>
        <v/>
      </c>
      <c r="DL26" s="85" t="str">
        <f t="shared" si="8"/>
        <v/>
      </c>
      <c r="DM26" s="84" t="str">
        <f>IF($AD26="選手権",(VLOOKUP($DH26,参照データ!$D$88:$K$117,5,0)),"")</f>
        <v/>
      </c>
      <c r="DN26" s="85" t="str">
        <f t="shared" si="9"/>
        <v/>
      </c>
      <c r="DO26" s="53" t="str">
        <f>IF(AND($AZ26&gt;=参照データ!$C$90,$AZ26&lt;=参照データ!$C$88),1,IF(AND($AZ26&gt;=参照データ!$C$93,$AZ26&lt;=参照データ!$C$91),2,IF(AND($AZ26&gt;=参照データ!$C$99,$AZ26&lt;=参照データ!$C$97),3,IF(AND($AZ26&gt;=参照データ!$C$105,$AZ26&lt;=参照データ!$C$103),4,IF(AND($AZ26&gt;=参照データ!$C$111,$AZ26&lt;=参照データ!$C$109),5,IF(AND($AZ26&gt;0,$AZ26&lt;=参照データ!$C$112),6,""))))))</f>
        <v/>
      </c>
      <c r="DP26" s="84" t="str">
        <f>IF($AF26="選手権",(VLOOKUP($DO26,参照データ!$D$88:$K$117,6,0)),"")</f>
        <v/>
      </c>
      <c r="DQ26" s="85" t="str">
        <f t="shared" si="10"/>
        <v/>
      </c>
      <c r="DR26" s="84" t="str">
        <f>IF($AH26="選手権",(VLOOKUP($DO26,参照データ!$D$88:$K$117,7,0)),"")</f>
        <v/>
      </c>
      <c r="DS26" s="85" t="str">
        <f t="shared" si="24"/>
        <v/>
      </c>
      <c r="DT26" s="33" t="str">
        <f t="shared" si="25"/>
        <v/>
      </c>
      <c r="DU26" s="32" t="str">
        <f t="shared" si="26"/>
        <v/>
      </c>
      <c r="DV26" s="85" t="str">
        <f t="shared" si="27"/>
        <v/>
      </c>
      <c r="DW26" s="736">
        <v>8</v>
      </c>
      <c r="DX26" s="93" t="s">
        <v>99</v>
      </c>
      <c r="DY26" s="94" t="str">
        <f t="shared" si="37"/>
        <v/>
      </c>
      <c r="DZ26" s="737" t="e">
        <f>IF($DY26&gt;$DY27,VLOOKUP($DY26,参照データ!$D$88:$K$117,8,0),VLOOKUP($DY27,参照データ!$D$88:$K$117,8,0))</f>
        <v>#N/A</v>
      </c>
      <c r="EA26" s="312" t="str">
        <f>IFERROR(VLOOKUP($DZ26,参照データ!$K$88:$O$117,5,0),"")</f>
        <v/>
      </c>
      <c r="EC26" s="491" t="str">
        <f t="shared" si="28"/>
        <v/>
      </c>
      <c r="EH26" s="35">
        <f>(COUNTIF($J26:$O26,"&lt;&gt;"))*参照データ!$E$3</f>
        <v>0</v>
      </c>
      <c r="EI26" s="219" t="str">
        <f>IF(P26="○",参照データ!$E$5,"")</f>
        <v/>
      </c>
      <c r="EJ26" s="219" t="str">
        <f>IF($Y26="○",参照データ!$E$4,"")</f>
        <v/>
      </c>
      <c r="EK26" s="18">
        <f>(SUM(COUNTIF($R26:$V26,{"入門","初級"}))*参照データ!$E$9)+(SUM(COUNTIF($R26:$V26,{"中級","上級"})*参照データ!$E$10))</f>
        <v>0</v>
      </c>
      <c r="EL26" s="18">
        <f>IFERROR(VLOOKUP($W26,参照データ!$D$9:$J$11,7,0),0)</f>
        <v>0</v>
      </c>
      <c r="EM26" s="18">
        <f>((COUNTIF($Z26:$AH26,"○"))*参照データ!$E$12)</f>
        <v>0</v>
      </c>
      <c r="EN26" s="18" t="str">
        <f>(IF($AJ26="○",参照データ!$J$12,""))</f>
        <v/>
      </c>
      <c r="EQ26" s="18">
        <f>((COUNTIF($Z26:$AH26,"選手権"))*参照データ!$E$13)</f>
        <v>0</v>
      </c>
      <c r="ER26" s="18" t="str">
        <f>(IF($AJ26="選手権",参照データ!$J$13,""))</f>
        <v/>
      </c>
      <c r="ES26" s="18">
        <f>(COUNTIF($AQ26:$AR26,"&lt;&gt;"))*参照データ!$H$3</f>
        <v>0</v>
      </c>
      <c r="ET26" s="18"/>
      <c r="EU26" s="18" t="str">
        <f>IF(AV26&lt;&gt;"",参照データ!$H$15,"")</f>
        <v/>
      </c>
      <c r="EV26" s="98" cm="1">
        <f t="array" ref="EV26">SUM(IF(ISERROR(EH26:EU26),0,(EH26:EU26)))</f>
        <v>0</v>
      </c>
      <c r="EW26" s="18"/>
      <c r="EX26" s="18">
        <f t="shared" si="11"/>
        <v>0</v>
      </c>
      <c r="EY26" s="18">
        <f t="shared" si="29"/>
        <v>0</v>
      </c>
      <c r="EZ26" s="18">
        <f t="shared" si="38"/>
        <v>0</v>
      </c>
      <c r="FA26" s="18">
        <f t="shared" si="30"/>
        <v>0</v>
      </c>
      <c r="FB26" s="18">
        <f t="shared" si="31"/>
        <v>0</v>
      </c>
      <c r="FC26" s="18">
        <f t="shared" si="32"/>
        <v>0</v>
      </c>
      <c r="FD26" s="18">
        <f t="shared" si="12"/>
        <v>0</v>
      </c>
      <c r="FE26" t="str">
        <f t="shared" si="33"/>
        <v/>
      </c>
    </row>
    <row r="27" spans="1:161" ht="18.75" customHeight="1" x14ac:dyDescent="0.2">
      <c r="A27">
        <v>16</v>
      </c>
      <c r="B27" s="14" t="str">
        <f>IF(D27="","",IF(D27="重複","",COUNTIF(B$12:$B26,"&gt;0")+1))</f>
        <v/>
      </c>
      <c r="C27" s="464"/>
      <c r="D27" s="177"/>
      <c r="E27" s="177"/>
      <c r="F27" s="31"/>
      <c r="G27" s="41"/>
      <c r="H27" s="351">
        <f t="shared" si="34"/>
        <v>0</v>
      </c>
      <c r="I27" s="193" t="str">
        <f>IF($AZ27=0,"",DATEDIF($AZ27,参照データ!$D$16,"Y"))</f>
        <v/>
      </c>
      <c r="J27" s="36"/>
      <c r="K27" s="36"/>
      <c r="L27" s="36"/>
      <c r="M27" s="36"/>
      <c r="N27" s="36"/>
      <c r="O27" s="42"/>
      <c r="P27" s="345"/>
      <c r="Q27" s="345"/>
      <c r="R27" s="43"/>
      <c r="S27" s="244"/>
      <c r="T27" s="244"/>
      <c r="U27" s="244"/>
      <c r="V27" s="245"/>
      <c r="W27" s="247"/>
      <c r="X27" s="250"/>
      <c r="Y27" s="345"/>
      <c r="Z27" s="388"/>
      <c r="AA27" s="346" t="str">
        <f>IF($Z27="○",VLOOKUP($CE27,参照データ!$D$65:$M$82,9,0),IF($Z27="選手権",VLOOKUP($DH27,参照データ!$D$88:$O$117,10,0),""))</f>
        <v/>
      </c>
      <c r="AB27" s="388"/>
      <c r="AC27" s="346" t="str">
        <f>IF($AB27="○",VLOOKUP($CE27,参照データ!$D$65:$M$82,10,0),IF($AB27="選手権",VLOOKUP($DH27,参照データ!$D$88:$O$117,11,0),""))</f>
        <v/>
      </c>
      <c r="AD27" s="388"/>
      <c r="AE27" s="346" t="str">
        <f>IF($AD27="○",VLOOKUP($CE27,参照データ!$D$65:$M$82,10,0),IF($AD27="選手権",VLOOKUP($DH27,参照データ!$D$88:$O$117,11,0),""))</f>
        <v/>
      </c>
      <c r="AF27" s="388"/>
      <c r="AG27" s="346" t="str">
        <f>IF($AF27="○",VLOOKUP($CE27,参照データ!$D$65:$M$82,10,0),IF($AF27="選手権",VLOOKUP($DO27,参照データ!$D$88:$O$117,12,0),""))</f>
        <v/>
      </c>
      <c r="AH27" s="388"/>
      <c r="AI27" s="346" t="str">
        <f>IF($AH27="○",VLOOKUP($CE27,参照データ!$D$65:$M$82,10,0),IF($AH27="選手権",VLOOKUP($DO27,参照データ!$D$88:$O$117,12,0),""))</f>
        <v/>
      </c>
      <c r="AJ27" s="388"/>
      <c r="AK27" s="511"/>
      <c r="AL27" s="346" t="str">
        <f t="shared" si="3"/>
        <v/>
      </c>
      <c r="AM27" s="392"/>
      <c r="AN27" s="391"/>
      <c r="AO27" s="391"/>
      <c r="AP27" s="447"/>
      <c r="AQ27" s="321"/>
      <c r="AR27" s="481"/>
      <c r="AS27" s="393"/>
      <c r="AT27" s="483"/>
      <c r="AU27" s="393"/>
      <c r="AV27" s="529"/>
      <c r="AW27" s="483"/>
      <c r="AZ27">
        <f t="shared" si="50"/>
        <v>0</v>
      </c>
      <c r="BA27" t="str">
        <f t="shared" si="35"/>
        <v/>
      </c>
      <c r="BB27" s="132"/>
      <c r="BD27" s="513" t="str">
        <f t="shared" si="4"/>
        <v/>
      </c>
      <c r="BE27" s="53" t="str">
        <f>IF($AZ27=0,"",IF(AND($I27&gt;=6,$I27&lt;=19),VLOOKUP($I27,参照データ!$B$24:$C$37,2,0),IF($I27&lt;6,6,19)))</f>
        <v/>
      </c>
      <c r="BF27" s="155" t="str">
        <f>IF($J27="○",VLOOKUP($BE27,参照データ!$C$24:$I$37,2,0),"")</f>
        <v/>
      </c>
      <c r="BG27" s="146" t="str">
        <f>IF($K27="○",VLOOKUP($BE27,参照データ!$C$24:$I$37,3,0),"")</f>
        <v/>
      </c>
      <c r="BH27" s="146" t="str">
        <f>IF($L27="○",VLOOKUP($BE27,参照データ!$C$24:$I$37,4,0),"")</f>
        <v/>
      </c>
      <c r="BI27" s="146" t="str">
        <f>IF($M27="○",VLOOKUP($BE27,参照データ!$C$24:$I$37,5,0),"")</f>
        <v/>
      </c>
      <c r="BJ27" s="146" t="str">
        <f>IF($N27="20日",VLOOKUP($BE27,参照データ!$C$24:$I$37,6,0),"")</f>
        <v/>
      </c>
      <c r="BK27" s="156" t="str">
        <f>IF($O27="20日",VLOOKUP($BE27,参照データ!$C$24:$I$37,7,0),"")</f>
        <v/>
      </c>
      <c r="BL27" s="155" t="str">
        <f>IF($J27="21日",VLOOKUP($BE27,参照データ!$C$24:$I$37,2,0),"")</f>
        <v/>
      </c>
      <c r="BM27" s="146" t="str">
        <f>IF($K27="21日",VLOOKUP($BE27,参照データ!$C$24:$I$37,3,0),"")</f>
        <v/>
      </c>
      <c r="BN27" s="146" t="str">
        <f>IF($L27="21日",VLOOKUP($BE27,参照データ!$C$24:$I$37,4,0),"")</f>
        <v/>
      </c>
      <c r="BO27" s="146" t="str">
        <f>IF($M27="21日",VLOOKUP($BE27,参照データ!$C$24:$I$37,5,0),"")</f>
        <v/>
      </c>
      <c r="BP27" s="146" t="str">
        <f>IF($N27="21日",VLOOKUP($BE27,参照データ!$C$24:$I$37,6,0),"")</f>
        <v/>
      </c>
      <c r="BQ27" s="156" t="str">
        <f>IF($O27="21日",VLOOKUP($BE27,参照データ!$C$24:$I$37,7,0),"")</f>
        <v/>
      </c>
      <c r="BR27" s="223" t="str">
        <f t="shared" si="42"/>
        <v/>
      </c>
      <c r="BS27" s="154" t="str">
        <f>IF($R27="入門",VLOOKUP($BE27,参照データ!$C$43:$U$56,2,0),IF($R27="初級",VLOOKUP($BE27,参照データ!$C$43:$U$56,3,0),IF($R27="中級",VLOOKUP($BE27,参照データ!$C$43:$U$56,4,0),IF($R27="上級",VLOOKUP($BE27,参照データ!$C$43:$U$56,5,0),""))))</f>
        <v/>
      </c>
      <c r="BT27" s="154" t="str">
        <f>IF($S27="初級",VLOOKUP($BE27,参照データ!$C$43:$U$56,6,0),IF($S27="中級",VLOOKUP($BE27,参照データ!$C$43:$U$56,7,0),IF($S27="上級",VLOOKUP($BE27,参照データ!$C$43:$U$56,8,0),"")))</f>
        <v/>
      </c>
      <c r="BU27" s="154" t="str">
        <f>IF($T27="初級",VLOOKUP($BE27,参照データ!$C$43:$U$56,9,0),IF($T27="上級",VLOOKUP($BE27,参照データ!$C$43:$U$56,10,0),""))</f>
        <v/>
      </c>
      <c r="BV27" s="154" t="str">
        <f>IF($U27="初級",VLOOKUP($BE27,参照データ!$C$43:$U$56,11,0),IF($U27="中級",VLOOKUP($BE27,参照データ!$C$43:$U$56,12,0),IF($U27="上級",VLOOKUP($BE27,参照データ!$C$43:$U$56,13,0),"")))</f>
        <v/>
      </c>
      <c r="BW27" s="154" t="str">
        <f>IF($V27="初級",VLOOKUP($BE27,参照データ!$C$43:$U$56,14,0),IF($V27="中級",VLOOKUP($BE27,参照データ!$C$43:$U$56,15,0),IF($V27="上級",VLOOKUP($BE27,参照データ!$C$43:$U$56,16,0),"")))</f>
        <v/>
      </c>
      <c r="BX27" s="47" t="str">
        <f t="shared" si="5"/>
        <v/>
      </c>
      <c r="BY27" s="47" t="str">
        <f>IF($W27="初級",VLOOKUP($BE27,参照データ!$C$43:$U$56,17,0),IF($W27="中級",VLOOKUP($BE27,参照データ!$C$43:$U$56,18,0),IF($W27="上級",VLOOKUP($BE27,参照データ!$C$43:$U$56,19,0),"")))</f>
        <v/>
      </c>
      <c r="BZ27" s="687"/>
      <c r="CA27" s="65" t="s">
        <v>239</v>
      </c>
      <c r="CB27" s="135" t="str">
        <f t="shared" si="13"/>
        <v/>
      </c>
      <c r="CC27" s="689"/>
      <c r="CE27" s="53" t="str">
        <f>IF(AND($AZ27&gt;=参照データ!$C$67,$AZ27&lt;=参照データ!$C$65),1,IF(AND($AZ27&gt;=参照データ!$C$70,$AZ27&lt;=参照データ!$C$68),2,IF(AND($AZ27&gt;=参照データ!$C$73,$AZ27&lt;=参照データ!$C$71),3,IF(AND($AZ27&gt;=参照データ!$C$76,$AZ27&lt;=参照データ!$C$74),4,IF(AND($AZ27&gt;=参照データ!$C$79,$AZ27&lt;=参照データ!$C$77),5,IF(AND($AZ27&gt;0,$AZ27&lt;=参照データ!$C$80),6,""))))))</f>
        <v/>
      </c>
      <c r="CF27" s="141" t="str">
        <f>IF($Z27="○",(VLOOKUP($CE27,参照データ!$D$65:$J$82,2,0)),"")</f>
        <v/>
      </c>
      <c r="CG27" s="71" t="str">
        <f t="shared" si="14"/>
        <v/>
      </c>
      <c r="CH27" s="70" t="str">
        <f>IF($AB27="○",(VLOOKUP($CE27,参照データ!$D$65:$J$82,3,0)),"")</f>
        <v/>
      </c>
      <c r="CI27" s="71" t="str">
        <f t="shared" si="15"/>
        <v/>
      </c>
      <c r="CJ27" s="70" t="str">
        <f>IF($AD27="○",(VLOOKUP($CE27,参照データ!$D$65:$J$82,4,0)),"")</f>
        <v/>
      </c>
      <c r="CK27" s="71" t="str">
        <f t="shared" si="16"/>
        <v/>
      </c>
      <c r="CL27" s="70" t="str">
        <f>IF($AF27="○",(VLOOKUP($CE27,参照データ!$D$65:$J$82,5,0)),"")</f>
        <v/>
      </c>
      <c r="CM27" s="71" t="str">
        <f t="shared" si="6"/>
        <v/>
      </c>
      <c r="CN27" s="70" t="str">
        <f>IF($AH27="○",(VLOOKUP($CE27,参照データ!$D$65:$J$82,6,0)),"")</f>
        <v/>
      </c>
      <c r="CO27" s="71" t="str">
        <f t="shared" si="17"/>
        <v/>
      </c>
      <c r="CP27" s="33" t="str">
        <f t="shared" si="18"/>
        <v/>
      </c>
      <c r="CQ27" s="32" t="str">
        <f t="shared" si="19"/>
        <v/>
      </c>
      <c r="CR27" s="71" t="str">
        <f t="shared" si="20"/>
        <v/>
      </c>
      <c r="CS27" s="682"/>
      <c r="CT27" s="77" t="s">
        <v>100</v>
      </c>
      <c r="CU27" s="78" t="str">
        <f t="shared" si="21"/>
        <v/>
      </c>
      <c r="CV27" s="684"/>
      <c r="CW27" s="308" t="str">
        <f t="shared" ref="CW27" si="61">$CW26</f>
        <v/>
      </c>
      <c r="CX27" s="70"/>
      <c r="CY27" s="172" t="str">
        <f t="shared" si="22"/>
        <v/>
      </c>
      <c r="DA27" s="32"/>
      <c r="DB27" s="161" t="str">
        <f t="shared" si="23"/>
        <v/>
      </c>
      <c r="DC27" s="744"/>
      <c r="DD27" s="164" t="s">
        <v>100</v>
      </c>
      <c r="DE27" s="165" t="str">
        <f t="shared" si="44"/>
        <v/>
      </c>
      <c r="DF27" s="742"/>
      <c r="DG27" t="str">
        <f>IF($DH27="","",DATEDIF($AZ27,参照データ!$D$19,"Y"))</f>
        <v/>
      </c>
      <c r="DH27" s="253" t="str">
        <f>IFERROR(IF($BA27="男子",VLOOKUP($DO27,参照データ!$D$88:$E$117,2,0),$DO27),0)</f>
        <v/>
      </c>
      <c r="DI27" s="84" t="str">
        <f>IF($Z27="選手権",(VLOOKUP($DH27,参照データ!$D$88:$K$117,3,0)),"")</f>
        <v/>
      </c>
      <c r="DJ27" s="85" t="str">
        <f t="shared" si="7"/>
        <v/>
      </c>
      <c r="DK27" s="84" t="str">
        <f>IF($AB27="選手権",(VLOOKUP($DH27,参照データ!$D$88:$K$117,4,0)),"")</f>
        <v/>
      </c>
      <c r="DL27" s="85" t="str">
        <f t="shared" si="8"/>
        <v/>
      </c>
      <c r="DM27" s="84" t="str">
        <f>IF($AD27="選手権",(VLOOKUP($DH27,参照データ!$D$88:$K$117,5,0)),"")</f>
        <v/>
      </c>
      <c r="DN27" s="85" t="str">
        <f t="shared" si="9"/>
        <v/>
      </c>
      <c r="DO27" s="53" t="str">
        <f>IF(AND($AZ27&gt;=参照データ!$C$90,$AZ27&lt;=参照データ!$C$88),1,IF(AND($AZ27&gt;=参照データ!$C$93,$AZ27&lt;=参照データ!$C$91),2,IF(AND($AZ27&gt;=参照データ!$C$99,$AZ27&lt;=参照データ!$C$97),3,IF(AND($AZ27&gt;=参照データ!$C$105,$AZ27&lt;=参照データ!$C$103),4,IF(AND($AZ27&gt;=参照データ!$C$111,$AZ27&lt;=参照データ!$C$109),5,IF(AND($AZ27&gt;0,$AZ27&lt;=参照データ!$C$112),6,""))))))</f>
        <v/>
      </c>
      <c r="DP27" s="84" t="str">
        <f>IF($AF27="選手権",(VLOOKUP($DO27,参照データ!$D$88:$K$117,6,0)),"")</f>
        <v/>
      </c>
      <c r="DQ27" s="85" t="str">
        <f t="shared" si="10"/>
        <v/>
      </c>
      <c r="DR27" s="84" t="str">
        <f>IF($AH27="選手権",(VLOOKUP($DO27,参照データ!$D$88:$K$117,7,0)),"")</f>
        <v/>
      </c>
      <c r="DS27" s="85" t="str">
        <f t="shared" si="24"/>
        <v/>
      </c>
      <c r="DT27" s="33" t="str">
        <f t="shared" si="25"/>
        <v/>
      </c>
      <c r="DU27" s="32" t="str">
        <f t="shared" si="26"/>
        <v/>
      </c>
      <c r="DV27" s="85" t="str">
        <f t="shared" si="27"/>
        <v/>
      </c>
      <c r="DW27" s="733"/>
      <c r="DX27" s="91" t="s">
        <v>100</v>
      </c>
      <c r="DY27" s="92" t="str">
        <f t="shared" si="37"/>
        <v/>
      </c>
      <c r="DZ27" s="735"/>
      <c r="EA27" s="312" t="str">
        <f t="shared" ref="EA27" si="62">$EA26</f>
        <v/>
      </c>
      <c r="EC27" s="491" t="str">
        <f t="shared" si="28"/>
        <v/>
      </c>
      <c r="EH27" s="35">
        <f>(COUNTIF($J27:$O27,"&lt;&gt;"))*参照データ!$E$3</f>
        <v>0</v>
      </c>
      <c r="EI27" s="219" t="str">
        <f>IF(P27="○",参照データ!$E$5,"")</f>
        <v/>
      </c>
      <c r="EJ27" s="219" t="str">
        <f>IF($Y27="○",参照データ!$E$4,"")</f>
        <v/>
      </c>
      <c r="EK27" s="18">
        <f>(SUM(COUNTIF($R27:$V27,{"入門","初級"}))*参照データ!$E$9)+(SUM(COUNTIF($R27:$V27,{"中級","上級"})*参照データ!$E$10))</f>
        <v>0</v>
      </c>
      <c r="EL27" s="18">
        <f>IFERROR(VLOOKUP($W27,参照データ!$D$9:$J$11,7,0),0)</f>
        <v>0</v>
      </c>
      <c r="EM27" s="18">
        <f>((COUNTIF($Z27:$AH27,"○"))*参照データ!$E$12)</f>
        <v>0</v>
      </c>
      <c r="EN27" s="18" t="str">
        <f>(IF($AJ27="○",参照データ!$J$12,""))</f>
        <v/>
      </c>
      <c r="EQ27" s="18">
        <f>((COUNTIF($Z27:$AH27,"選手権"))*参照データ!$E$13)</f>
        <v>0</v>
      </c>
      <c r="ER27" s="18" t="str">
        <f>(IF($AJ27="選手権",参照データ!$J$13,""))</f>
        <v/>
      </c>
      <c r="ES27" s="18">
        <f>(COUNTIF($AQ27:$AR27,"&lt;&gt;"))*参照データ!$H$3</f>
        <v>0</v>
      </c>
      <c r="ET27" s="18"/>
      <c r="EU27" s="18" t="str">
        <f>IF(AV27&lt;&gt;"",参照データ!$H$15,"")</f>
        <v/>
      </c>
      <c r="EV27" s="98" cm="1">
        <f t="array" ref="EV27">SUM(IF(ISERROR(EH27:EU27),0,(EH27:EU27)))</f>
        <v>0</v>
      </c>
      <c r="EW27" s="18"/>
      <c r="EX27" s="18">
        <f t="shared" si="11"/>
        <v>0</v>
      </c>
      <c r="EY27" s="18">
        <f t="shared" si="29"/>
        <v>0</v>
      </c>
      <c r="EZ27" s="18">
        <f t="shared" si="38"/>
        <v>0</v>
      </c>
      <c r="FA27" s="18">
        <f t="shared" si="30"/>
        <v>0</v>
      </c>
      <c r="FB27" s="18">
        <f t="shared" si="31"/>
        <v>0</v>
      </c>
      <c r="FC27" s="18">
        <f t="shared" si="32"/>
        <v>0</v>
      </c>
      <c r="FD27" s="18">
        <f t="shared" si="12"/>
        <v>0</v>
      </c>
      <c r="FE27" t="str">
        <f t="shared" si="33"/>
        <v/>
      </c>
    </row>
    <row r="28" spans="1:161" ht="18.75" customHeight="1" x14ac:dyDescent="0.2">
      <c r="A28">
        <v>17</v>
      </c>
      <c r="B28" s="14" t="str">
        <f>IF(D28="","",IF(D28="重複","",COUNTIF(B$12:$B27,"&gt;0")+1))</f>
        <v/>
      </c>
      <c r="C28" s="464"/>
      <c r="D28" s="177"/>
      <c r="E28" s="177"/>
      <c r="F28" s="31"/>
      <c r="G28" s="41"/>
      <c r="H28" s="351">
        <f t="shared" si="34"/>
        <v>0</v>
      </c>
      <c r="I28" s="193" t="str">
        <f>IF($AZ28=0,"",DATEDIF($AZ28,参照データ!$D$16,"Y"))</f>
        <v/>
      </c>
      <c r="J28" s="36"/>
      <c r="K28" s="36"/>
      <c r="L28" s="36"/>
      <c r="M28" s="36"/>
      <c r="N28" s="36"/>
      <c r="O28" s="42"/>
      <c r="P28" s="345"/>
      <c r="Q28" s="345"/>
      <c r="R28" s="43"/>
      <c r="S28" s="244"/>
      <c r="T28" s="244"/>
      <c r="U28" s="244"/>
      <c r="V28" s="245"/>
      <c r="W28" s="247"/>
      <c r="X28" s="250"/>
      <c r="Y28" s="345"/>
      <c r="Z28" s="388"/>
      <c r="AA28" s="346" t="str">
        <f>IF($Z28="○",VLOOKUP($CE28,参照データ!$D$65:$M$82,9,0),IF($Z28="選手権",VLOOKUP($DH28,参照データ!$D$88:$O$117,10,0),""))</f>
        <v/>
      </c>
      <c r="AB28" s="388"/>
      <c r="AC28" s="346" t="str">
        <f>IF($AB28="○",VLOOKUP($CE28,参照データ!$D$65:$M$82,10,0),IF($AB28="選手権",VLOOKUP($DH28,参照データ!$D$88:$O$117,11,0),""))</f>
        <v/>
      </c>
      <c r="AD28" s="388"/>
      <c r="AE28" s="346" t="str">
        <f>IF($AD28="○",VLOOKUP($CE28,参照データ!$D$65:$M$82,10,0),IF($AD28="選手権",VLOOKUP($DH28,参照データ!$D$88:$O$117,11,0),""))</f>
        <v/>
      </c>
      <c r="AF28" s="388"/>
      <c r="AG28" s="346" t="str">
        <f>IF($AF28="○",VLOOKUP($CE28,参照データ!$D$65:$M$82,10,0),IF($AF28="選手権",VLOOKUP($DO28,参照データ!$D$88:$O$117,12,0),""))</f>
        <v/>
      </c>
      <c r="AH28" s="388"/>
      <c r="AI28" s="346" t="str">
        <f>IF($AH28="○",VLOOKUP($CE28,参照データ!$D$65:$M$82,10,0),IF($AH28="選手権",VLOOKUP($DO28,参照データ!$D$88:$O$117,12,0),""))</f>
        <v/>
      </c>
      <c r="AJ28" s="388"/>
      <c r="AK28" s="511"/>
      <c r="AL28" s="346" t="str">
        <f t="shared" si="3"/>
        <v/>
      </c>
      <c r="AM28" s="392"/>
      <c r="AN28" s="391"/>
      <c r="AO28" s="391"/>
      <c r="AP28" s="447"/>
      <c r="AQ28" s="321"/>
      <c r="AR28" s="481"/>
      <c r="AS28" s="393"/>
      <c r="AT28" s="483"/>
      <c r="AU28" s="393"/>
      <c r="AV28" s="529"/>
      <c r="AW28" s="483"/>
      <c r="AZ28">
        <f t="shared" si="50"/>
        <v>0</v>
      </c>
      <c r="BA28" t="str">
        <f t="shared" si="35"/>
        <v/>
      </c>
      <c r="BB28" s="132"/>
      <c r="BD28" s="513" t="str">
        <f t="shared" si="4"/>
        <v/>
      </c>
      <c r="BE28" s="53" t="str">
        <f>IF($AZ28=0,"",IF(AND($I28&gt;=6,$I28&lt;=19),VLOOKUP($I28,参照データ!$B$24:$C$37,2,0),IF($I28&lt;6,6,19)))</f>
        <v/>
      </c>
      <c r="BF28" s="155" t="str">
        <f>IF($J28="○",VLOOKUP($BE28,参照データ!$C$24:$I$37,2,0),"")</f>
        <v/>
      </c>
      <c r="BG28" s="146" t="str">
        <f>IF($K28="○",VLOOKUP($BE28,参照データ!$C$24:$I$37,3,0),"")</f>
        <v/>
      </c>
      <c r="BH28" s="146" t="str">
        <f>IF($L28="○",VLOOKUP($BE28,参照データ!$C$24:$I$37,4,0),"")</f>
        <v/>
      </c>
      <c r="BI28" s="146" t="str">
        <f>IF($M28="○",VLOOKUP($BE28,参照データ!$C$24:$I$37,5,0),"")</f>
        <v/>
      </c>
      <c r="BJ28" s="146" t="str">
        <f>IF($N28="20日",VLOOKUP($BE28,参照データ!$C$24:$I$37,6,0),"")</f>
        <v/>
      </c>
      <c r="BK28" s="156" t="str">
        <f>IF($O28="20日",VLOOKUP($BE28,参照データ!$C$24:$I$37,7,0),"")</f>
        <v/>
      </c>
      <c r="BL28" s="155" t="str">
        <f>IF($J28="21日",VLOOKUP($BE28,参照データ!$C$24:$I$37,2,0),"")</f>
        <v/>
      </c>
      <c r="BM28" s="146" t="str">
        <f>IF($K28="21日",VLOOKUP($BE28,参照データ!$C$24:$I$37,3,0),"")</f>
        <v/>
      </c>
      <c r="BN28" s="146" t="str">
        <f>IF($L28="21日",VLOOKUP($BE28,参照データ!$C$24:$I$37,4,0),"")</f>
        <v/>
      </c>
      <c r="BO28" s="146" t="str">
        <f>IF($M28="21日",VLOOKUP($BE28,参照データ!$C$24:$I$37,5,0),"")</f>
        <v/>
      </c>
      <c r="BP28" s="146" t="str">
        <f>IF($N28="21日",VLOOKUP($BE28,参照データ!$C$24:$I$37,6,0),"")</f>
        <v/>
      </c>
      <c r="BQ28" s="156" t="str">
        <f>IF($O28="21日",VLOOKUP($BE28,参照データ!$C$24:$I$37,7,0),"")</f>
        <v/>
      </c>
      <c r="BR28" s="223" t="str">
        <f t="shared" si="42"/>
        <v/>
      </c>
      <c r="BS28" s="154" t="str">
        <f>IF($R28="入門",VLOOKUP($BE28,参照データ!$C$43:$U$56,2,0),IF($R28="初級",VLOOKUP($BE28,参照データ!$C$43:$U$56,3,0),IF($R28="中級",VLOOKUP($BE28,参照データ!$C$43:$U$56,4,0),IF($R28="上級",VLOOKUP($BE28,参照データ!$C$43:$U$56,5,0),""))))</f>
        <v/>
      </c>
      <c r="BT28" s="154" t="str">
        <f>IF($S28="初級",VLOOKUP($BE28,参照データ!$C$43:$U$56,6,0),IF($S28="中級",VLOOKUP($BE28,参照データ!$C$43:$U$56,7,0),IF($S28="上級",VLOOKUP($BE28,参照データ!$C$43:$U$56,8,0),"")))</f>
        <v/>
      </c>
      <c r="BU28" s="154" t="str">
        <f>IF($T28="初級",VLOOKUP($BE28,参照データ!$C$43:$U$56,9,0),IF($T28="上級",VLOOKUP($BE28,参照データ!$C$43:$U$56,10,0),""))</f>
        <v/>
      </c>
      <c r="BV28" s="154" t="str">
        <f>IF($U28="初級",VLOOKUP($BE28,参照データ!$C$43:$U$56,11,0),IF($U28="中級",VLOOKUP($BE28,参照データ!$C$43:$U$56,12,0),IF($U28="上級",VLOOKUP($BE28,参照データ!$C$43:$U$56,13,0),"")))</f>
        <v/>
      </c>
      <c r="BW28" s="154" t="str">
        <f>IF($V28="初級",VLOOKUP($BE28,参照データ!$C$43:$U$56,14,0),IF($V28="中級",VLOOKUP($BE28,参照データ!$C$43:$U$56,15,0),IF($V28="上級",VLOOKUP($BE28,参照データ!$C$43:$U$56,16,0),"")))</f>
        <v/>
      </c>
      <c r="BX28" s="47" t="str">
        <f t="shared" si="5"/>
        <v/>
      </c>
      <c r="BY28" s="47" t="str">
        <f>IF($W28="初級",VLOOKUP($BE28,参照データ!$C$43:$U$56,17,0),IF($W28="中級",VLOOKUP($BE28,参照データ!$C$43:$U$56,18,0),IF($W28="上級",VLOOKUP($BE28,参照データ!$C$43:$U$56,19,0),"")))</f>
        <v/>
      </c>
      <c r="BZ28" s="686">
        <v>9</v>
      </c>
      <c r="CA28" s="66" t="s">
        <v>240</v>
      </c>
      <c r="CB28" s="136" t="str">
        <f t="shared" si="13"/>
        <v/>
      </c>
      <c r="CC28" s="688" t="str">
        <f t="shared" ref="CC28" si="63">IF(OR($CB28="",$CB29=""),"",IF($CB28&gt;$CB29,$CB28,$CB29))</f>
        <v/>
      </c>
      <c r="CE28" s="53" t="str">
        <f>IF(AND($AZ28&gt;=参照データ!$C$67,$AZ28&lt;=参照データ!$C$65),1,IF(AND($AZ28&gt;=参照データ!$C$70,$AZ28&lt;=参照データ!$C$68),2,IF(AND($AZ28&gt;=参照データ!$C$73,$AZ28&lt;=参照データ!$C$71),3,IF(AND($AZ28&gt;=参照データ!$C$76,$AZ28&lt;=参照データ!$C$74),4,IF(AND($AZ28&gt;=参照データ!$C$79,$AZ28&lt;=参照データ!$C$77),5,IF(AND($AZ28&gt;0,$AZ28&lt;=参照データ!$C$80),6,""))))))</f>
        <v/>
      </c>
      <c r="CF28" s="141" t="str">
        <f>IF($Z28="○",(VLOOKUP($CE28,参照データ!$D$65:$J$82,2,0)),"")</f>
        <v/>
      </c>
      <c r="CG28" s="71" t="str">
        <f t="shared" si="14"/>
        <v/>
      </c>
      <c r="CH28" s="70" t="str">
        <f>IF($AB28="○",(VLOOKUP($CE28,参照データ!$D$65:$J$82,3,0)),"")</f>
        <v/>
      </c>
      <c r="CI28" s="71" t="str">
        <f t="shared" si="15"/>
        <v/>
      </c>
      <c r="CJ28" s="70" t="str">
        <f>IF($AD28="○",(VLOOKUP($CE28,参照データ!$D$65:$J$82,4,0)),"")</f>
        <v/>
      </c>
      <c r="CK28" s="71" t="str">
        <f t="shared" si="16"/>
        <v/>
      </c>
      <c r="CL28" s="70" t="str">
        <f>IF($AF28="○",(VLOOKUP($CE28,参照データ!$D$65:$J$82,5,0)),"")</f>
        <v/>
      </c>
      <c r="CM28" s="71" t="str">
        <f t="shared" si="6"/>
        <v/>
      </c>
      <c r="CN28" s="70" t="str">
        <f>IF($AH28="○",(VLOOKUP($CE28,参照データ!$D$65:$J$82,6,0)),"")</f>
        <v/>
      </c>
      <c r="CO28" s="71" t="str">
        <f t="shared" si="17"/>
        <v/>
      </c>
      <c r="CP28" s="33" t="str">
        <f t="shared" si="18"/>
        <v/>
      </c>
      <c r="CQ28" s="32" t="str">
        <f t="shared" si="19"/>
        <v/>
      </c>
      <c r="CR28" s="71" t="str">
        <f t="shared" si="20"/>
        <v/>
      </c>
      <c r="CS28" s="681">
        <v>9</v>
      </c>
      <c r="CT28" s="79" t="s">
        <v>101</v>
      </c>
      <c r="CU28" s="80" t="str">
        <f t="shared" si="21"/>
        <v/>
      </c>
      <c r="CV28" s="683" t="e">
        <f>IF($CU28&gt;$CU29,VLOOKUP($CU28,参照データ!$D$65:$J$82,7,0),VLOOKUP($CU29,参照データ!$D$65:$J$82,7,0))</f>
        <v>#N/A</v>
      </c>
      <c r="CW28" s="308" t="str">
        <f>IFERROR(VLOOKUP($CV28,参照データ!$J$65:$M$82,4,0),"")</f>
        <v/>
      </c>
      <c r="CX28" s="70"/>
      <c r="CY28" s="172" t="str">
        <f t="shared" si="22"/>
        <v/>
      </c>
      <c r="DA28" s="32"/>
      <c r="DB28" s="161" t="str">
        <f t="shared" si="23"/>
        <v/>
      </c>
      <c r="DC28" s="743">
        <v>9</v>
      </c>
      <c r="DD28" s="166" t="s">
        <v>101</v>
      </c>
      <c r="DE28" s="167" t="str">
        <f t="shared" si="44"/>
        <v/>
      </c>
      <c r="DF28" s="741" t="str">
        <f>IF(OR(DE28="",DE29=""),"",IF(DE28&gt;DE29,DE28,DE29))</f>
        <v/>
      </c>
      <c r="DG28" t="str">
        <f>IF($DH28="","",DATEDIF($AZ28,参照データ!$D$19,"Y"))</f>
        <v/>
      </c>
      <c r="DH28" s="253" t="str">
        <f>IFERROR(IF($BA28="男子",VLOOKUP($DO28,参照データ!$D$88:$E$117,2,0),$DO28),0)</f>
        <v/>
      </c>
      <c r="DI28" s="84" t="str">
        <f>IF($Z28="選手権",(VLOOKUP($DH28,参照データ!$D$88:$K$117,3,0)),"")</f>
        <v/>
      </c>
      <c r="DJ28" s="85" t="str">
        <f t="shared" si="7"/>
        <v/>
      </c>
      <c r="DK28" s="84" t="str">
        <f>IF($AB28="選手権",(VLOOKUP($DH28,参照データ!$D$88:$K$117,4,0)),"")</f>
        <v/>
      </c>
      <c r="DL28" s="85" t="str">
        <f t="shared" si="8"/>
        <v/>
      </c>
      <c r="DM28" s="84" t="str">
        <f>IF($AD28="選手権",(VLOOKUP($DH28,参照データ!$D$88:$K$117,5,0)),"")</f>
        <v/>
      </c>
      <c r="DN28" s="85" t="str">
        <f t="shared" si="9"/>
        <v/>
      </c>
      <c r="DO28" s="53" t="str">
        <f>IF(AND($AZ28&gt;=参照データ!$C$90,$AZ28&lt;=参照データ!$C$88),1,IF(AND($AZ28&gt;=参照データ!$C$93,$AZ28&lt;=参照データ!$C$91),2,IF(AND($AZ28&gt;=参照データ!$C$99,$AZ28&lt;=参照データ!$C$97),3,IF(AND($AZ28&gt;=参照データ!$C$105,$AZ28&lt;=参照データ!$C$103),4,IF(AND($AZ28&gt;=参照データ!$C$111,$AZ28&lt;=参照データ!$C$109),5,IF(AND($AZ28&gt;0,$AZ28&lt;=参照データ!$C$112),6,""))))))</f>
        <v/>
      </c>
      <c r="DP28" s="84" t="str">
        <f>IF($AF28="選手権",(VLOOKUP($DO28,参照データ!$D$88:$K$117,6,0)),"")</f>
        <v/>
      </c>
      <c r="DQ28" s="85" t="str">
        <f t="shared" si="10"/>
        <v/>
      </c>
      <c r="DR28" s="84" t="str">
        <f>IF($AH28="選手権",(VLOOKUP($DO28,参照データ!$D$88:$K$117,7,0)),"")</f>
        <v/>
      </c>
      <c r="DS28" s="85" t="str">
        <f t="shared" si="24"/>
        <v/>
      </c>
      <c r="DT28" s="33" t="str">
        <f t="shared" si="25"/>
        <v/>
      </c>
      <c r="DU28" s="32" t="str">
        <f t="shared" si="26"/>
        <v/>
      </c>
      <c r="DV28" s="85" t="str">
        <f t="shared" si="27"/>
        <v/>
      </c>
      <c r="DW28" s="736">
        <v>9</v>
      </c>
      <c r="DX28" s="93" t="s">
        <v>101</v>
      </c>
      <c r="DY28" s="94" t="str">
        <f t="shared" si="37"/>
        <v/>
      </c>
      <c r="DZ28" s="737" t="e">
        <f>IF($DY28&gt;$DY29,VLOOKUP($DY28,参照データ!$D$88:$K$117,8,0),VLOOKUP($DY29,参照データ!$D$88:$K$117,8,0))</f>
        <v>#N/A</v>
      </c>
      <c r="EA28" s="312" t="str">
        <f>IFERROR(VLOOKUP($DZ28,参照データ!$K$88:$O$117,5,0),"")</f>
        <v/>
      </c>
      <c r="EC28" s="491" t="str">
        <f t="shared" si="28"/>
        <v/>
      </c>
      <c r="EH28" s="35">
        <f>(COUNTIF($J28:$O28,"&lt;&gt;"))*参照データ!$E$3</f>
        <v>0</v>
      </c>
      <c r="EI28" s="219" t="str">
        <f>IF(P28="○",参照データ!$E$5,"")</f>
        <v/>
      </c>
      <c r="EJ28" s="219" t="str">
        <f>IF($Y28="○",参照データ!$E$4,"")</f>
        <v/>
      </c>
      <c r="EK28" s="18">
        <f>(SUM(COUNTIF($R28:$V28,{"入門","初級"}))*参照データ!$E$9)+(SUM(COUNTIF($R28:$V28,{"中級","上級"})*参照データ!$E$10))</f>
        <v>0</v>
      </c>
      <c r="EL28" s="18">
        <f>IFERROR(VLOOKUP($W28,参照データ!$D$9:$J$11,7,0),0)</f>
        <v>0</v>
      </c>
      <c r="EM28" s="18">
        <f>((COUNTIF($Z28:$AH28,"○"))*参照データ!$E$12)</f>
        <v>0</v>
      </c>
      <c r="EN28" s="18" t="str">
        <f>(IF($AJ28="○",参照データ!$J$12,""))</f>
        <v/>
      </c>
      <c r="EQ28" s="18">
        <f>((COUNTIF($Z28:$AH28,"選手権"))*参照データ!$E$13)</f>
        <v>0</v>
      </c>
      <c r="ER28" s="18" t="str">
        <f>(IF($AJ28="選手権",参照データ!$J$13,""))</f>
        <v/>
      </c>
      <c r="ES28" s="18">
        <f>(COUNTIF($AQ28:$AR28,"&lt;&gt;"))*参照データ!$H$3</f>
        <v>0</v>
      </c>
      <c r="ET28" s="18"/>
      <c r="EU28" s="18" t="str">
        <f>IF(AV28&lt;&gt;"",参照データ!$H$15,"")</f>
        <v/>
      </c>
      <c r="EV28" s="98" cm="1">
        <f t="array" ref="EV28">SUM(IF(ISERROR(EH28:EU28),0,(EH28:EU28)))</f>
        <v>0</v>
      </c>
      <c r="EW28" s="18"/>
      <c r="EX28" s="18">
        <f t="shared" si="11"/>
        <v>0</v>
      </c>
      <c r="EY28" s="18">
        <f t="shared" si="29"/>
        <v>0</v>
      </c>
      <c r="EZ28" s="18">
        <f t="shared" si="38"/>
        <v>0</v>
      </c>
      <c r="FA28" s="18">
        <f t="shared" si="30"/>
        <v>0</v>
      </c>
      <c r="FB28" s="18">
        <f t="shared" si="31"/>
        <v>0</v>
      </c>
      <c r="FC28" s="18">
        <f t="shared" si="32"/>
        <v>0</v>
      </c>
      <c r="FD28" s="18">
        <f t="shared" si="12"/>
        <v>0</v>
      </c>
      <c r="FE28" t="str">
        <f t="shared" si="33"/>
        <v/>
      </c>
    </row>
    <row r="29" spans="1:161" ht="18.75" customHeight="1" x14ac:dyDescent="0.2">
      <c r="A29">
        <v>18</v>
      </c>
      <c r="B29" s="14" t="str">
        <f>IF(D29="","",IF(D29="重複","",COUNTIF(B$12:$B28,"&gt;0")+1))</f>
        <v/>
      </c>
      <c r="C29" s="464"/>
      <c r="D29" s="177"/>
      <c r="E29" s="177"/>
      <c r="F29" s="31"/>
      <c r="G29" s="41"/>
      <c r="H29" s="351">
        <f t="shared" si="34"/>
        <v>0</v>
      </c>
      <c r="I29" s="193" t="str">
        <f>IF($AZ29=0,"",DATEDIF($AZ29,参照データ!$D$16,"Y"))</f>
        <v/>
      </c>
      <c r="J29" s="36"/>
      <c r="K29" s="36"/>
      <c r="L29" s="36"/>
      <c r="M29" s="36"/>
      <c r="N29" s="36"/>
      <c r="O29" s="42"/>
      <c r="P29" s="345"/>
      <c r="Q29" s="345"/>
      <c r="R29" s="43"/>
      <c r="S29" s="244"/>
      <c r="T29" s="244"/>
      <c r="U29" s="244"/>
      <c r="V29" s="245"/>
      <c r="W29" s="247"/>
      <c r="X29" s="250"/>
      <c r="Y29" s="345"/>
      <c r="Z29" s="388"/>
      <c r="AA29" s="346" t="str">
        <f>IF($Z29="○",VLOOKUP($CE29,参照データ!$D$65:$M$82,9,0),IF($Z29="選手権",VLOOKUP($DH29,参照データ!$D$88:$O$117,10,0),""))</f>
        <v/>
      </c>
      <c r="AB29" s="388"/>
      <c r="AC29" s="346" t="str">
        <f>IF($AB29="○",VLOOKUP($CE29,参照データ!$D$65:$M$82,10,0),IF($AB29="選手権",VLOOKUP($DH29,参照データ!$D$88:$O$117,11,0),""))</f>
        <v/>
      </c>
      <c r="AD29" s="388"/>
      <c r="AE29" s="346" t="str">
        <f>IF($AD29="○",VLOOKUP($CE29,参照データ!$D$65:$M$82,10,0),IF($AD29="選手権",VLOOKUP($DH29,参照データ!$D$88:$O$117,11,0),""))</f>
        <v/>
      </c>
      <c r="AF29" s="388"/>
      <c r="AG29" s="346" t="str">
        <f>IF($AF29="○",VLOOKUP($CE29,参照データ!$D$65:$M$82,10,0),IF($AF29="選手権",VLOOKUP($DO29,参照データ!$D$88:$O$117,12,0),""))</f>
        <v/>
      </c>
      <c r="AH29" s="388"/>
      <c r="AI29" s="346" t="str">
        <f>IF($AH29="○",VLOOKUP($CE29,参照データ!$D$65:$M$82,10,0),IF($AH29="選手権",VLOOKUP($DO29,参照データ!$D$88:$O$117,12,0),""))</f>
        <v/>
      </c>
      <c r="AJ29" s="388"/>
      <c r="AK29" s="511"/>
      <c r="AL29" s="346" t="str">
        <f t="shared" si="3"/>
        <v/>
      </c>
      <c r="AM29" s="392"/>
      <c r="AN29" s="391"/>
      <c r="AO29" s="391"/>
      <c r="AP29" s="447"/>
      <c r="AQ29" s="321"/>
      <c r="AR29" s="481"/>
      <c r="AS29" s="393"/>
      <c r="AT29" s="483"/>
      <c r="AU29" s="393"/>
      <c r="AV29" s="529"/>
      <c r="AW29" s="483"/>
      <c r="AZ29">
        <f t="shared" si="50"/>
        <v>0</v>
      </c>
      <c r="BA29" t="str">
        <f t="shared" si="35"/>
        <v/>
      </c>
      <c r="BB29" s="132"/>
      <c r="BD29" s="513" t="str">
        <f t="shared" si="4"/>
        <v/>
      </c>
      <c r="BE29" s="53" t="str">
        <f>IF($AZ29=0,"",IF(AND($I29&gt;=6,$I29&lt;=19),VLOOKUP($I29,参照データ!$B$24:$C$37,2,0),IF($I29&lt;6,6,19)))</f>
        <v/>
      </c>
      <c r="BF29" s="155" t="str">
        <f>IF($J29="○",VLOOKUP($BE29,参照データ!$C$24:$I$37,2,0),"")</f>
        <v/>
      </c>
      <c r="BG29" s="146" t="str">
        <f>IF($K29="○",VLOOKUP($BE29,参照データ!$C$24:$I$37,3,0),"")</f>
        <v/>
      </c>
      <c r="BH29" s="146" t="str">
        <f>IF($L29="○",VLOOKUP($BE29,参照データ!$C$24:$I$37,4,0),"")</f>
        <v/>
      </c>
      <c r="BI29" s="146" t="str">
        <f>IF($M29="○",VLOOKUP($BE29,参照データ!$C$24:$I$37,5,0),"")</f>
        <v/>
      </c>
      <c r="BJ29" s="146" t="str">
        <f>IF($N29="20日",VLOOKUP($BE29,参照データ!$C$24:$I$37,6,0),"")</f>
        <v/>
      </c>
      <c r="BK29" s="156" t="str">
        <f>IF($O29="20日",VLOOKUP($BE29,参照データ!$C$24:$I$37,7,0),"")</f>
        <v/>
      </c>
      <c r="BL29" s="155" t="str">
        <f>IF($J29="21日",VLOOKUP($BE29,参照データ!$C$24:$I$37,2,0),"")</f>
        <v/>
      </c>
      <c r="BM29" s="146" t="str">
        <f>IF($K29="21日",VLOOKUP($BE29,参照データ!$C$24:$I$37,3,0),"")</f>
        <v/>
      </c>
      <c r="BN29" s="146" t="str">
        <f>IF($L29="21日",VLOOKUP($BE29,参照データ!$C$24:$I$37,4,0),"")</f>
        <v/>
      </c>
      <c r="BO29" s="146" t="str">
        <f>IF($M29="21日",VLOOKUP($BE29,参照データ!$C$24:$I$37,5,0),"")</f>
        <v/>
      </c>
      <c r="BP29" s="146" t="str">
        <f>IF($N29="21日",VLOOKUP($BE29,参照データ!$C$24:$I$37,6,0),"")</f>
        <v/>
      </c>
      <c r="BQ29" s="156" t="str">
        <f>IF($O29="21日",VLOOKUP($BE29,参照データ!$C$24:$I$37,7,0),"")</f>
        <v/>
      </c>
      <c r="BR29" s="223" t="str">
        <f t="shared" si="42"/>
        <v/>
      </c>
      <c r="BS29" s="154" t="str">
        <f>IF($R29="入門",VLOOKUP($BE29,参照データ!$C$43:$U$56,2,0),IF($R29="初級",VLOOKUP($BE29,参照データ!$C$43:$U$56,3,0),IF($R29="中級",VLOOKUP($BE29,参照データ!$C$43:$U$56,4,0),IF($R29="上級",VLOOKUP($BE29,参照データ!$C$43:$U$56,5,0),""))))</f>
        <v/>
      </c>
      <c r="BT29" s="154" t="str">
        <f>IF($S29="初級",VLOOKUP($BE29,参照データ!$C$43:$U$56,6,0),IF($S29="中級",VLOOKUP($BE29,参照データ!$C$43:$U$56,7,0),IF($S29="上級",VLOOKUP($BE29,参照データ!$C$43:$U$56,8,0),"")))</f>
        <v/>
      </c>
      <c r="BU29" s="154" t="str">
        <f>IF($T29="初級",VLOOKUP($BE29,参照データ!$C$43:$U$56,9,0),IF($T29="上級",VLOOKUP($BE29,参照データ!$C$43:$U$56,10,0),""))</f>
        <v/>
      </c>
      <c r="BV29" s="154" t="str">
        <f>IF($U29="初級",VLOOKUP($BE29,参照データ!$C$43:$U$56,11,0),IF($U29="中級",VLOOKUP($BE29,参照データ!$C$43:$U$56,12,0),IF($U29="上級",VLOOKUP($BE29,参照データ!$C$43:$U$56,13,0),"")))</f>
        <v/>
      </c>
      <c r="BW29" s="154" t="str">
        <f>IF($V29="初級",VLOOKUP($BE29,参照データ!$C$43:$U$56,14,0),IF($V29="中級",VLOOKUP($BE29,参照データ!$C$43:$U$56,15,0),IF($V29="上級",VLOOKUP($BE29,参照データ!$C$43:$U$56,16,0),"")))</f>
        <v/>
      </c>
      <c r="BX29" s="47" t="str">
        <f t="shared" si="5"/>
        <v/>
      </c>
      <c r="BY29" s="47" t="str">
        <f>IF($W29="初級",VLOOKUP($BE29,参照データ!$C$43:$U$56,17,0),IF($W29="中級",VLOOKUP($BE29,参照データ!$C$43:$U$56,18,0),IF($W29="上級",VLOOKUP($BE29,参照データ!$C$43:$U$56,19,0),"")))</f>
        <v/>
      </c>
      <c r="BZ29" s="687"/>
      <c r="CA29" s="65" t="s">
        <v>241</v>
      </c>
      <c r="CB29" s="135" t="str">
        <f t="shared" si="13"/>
        <v/>
      </c>
      <c r="CC29" s="689"/>
      <c r="CE29" s="53" t="str">
        <f>IF(AND($AZ29&gt;=参照データ!$C$67,$AZ29&lt;=参照データ!$C$65),1,IF(AND($AZ29&gt;=参照データ!$C$70,$AZ29&lt;=参照データ!$C$68),2,IF(AND($AZ29&gt;=参照データ!$C$73,$AZ29&lt;=参照データ!$C$71),3,IF(AND($AZ29&gt;=参照データ!$C$76,$AZ29&lt;=参照データ!$C$74),4,IF(AND($AZ29&gt;=参照データ!$C$79,$AZ29&lt;=参照データ!$C$77),5,IF(AND($AZ29&gt;0,$AZ29&lt;=参照データ!$C$80),6,""))))))</f>
        <v/>
      </c>
      <c r="CF29" s="141" t="str">
        <f>IF($Z29="○",(VLOOKUP($CE29,参照データ!$D$65:$J$82,2,0)),"")</f>
        <v/>
      </c>
      <c r="CG29" s="71" t="str">
        <f t="shared" si="14"/>
        <v/>
      </c>
      <c r="CH29" s="70" t="str">
        <f>IF($AB29="○",(VLOOKUP($CE29,参照データ!$D$65:$J$82,3,0)),"")</f>
        <v/>
      </c>
      <c r="CI29" s="71" t="str">
        <f t="shared" si="15"/>
        <v/>
      </c>
      <c r="CJ29" s="70" t="str">
        <f>IF($AD29="○",(VLOOKUP($CE29,参照データ!$D$65:$J$82,4,0)),"")</f>
        <v/>
      </c>
      <c r="CK29" s="71" t="str">
        <f t="shared" si="16"/>
        <v/>
      </c>
      <c r="CL29" s="70" t="str">
        <f>IF($AF29="○",(VLOOKUP($CE29,参照データ!$D$65:$J$82,5,0)),"")</f>
        <v/>
      </c>
      <c r="CM29" s="71" t="str">
        <f t="shared" si="6"/>
        <v/>
      </c>
      <c r="CN29" s="70" t="str">
        <f>IF($AH29="○",(VLOOKUP($CE29,参照データ!$D$65:$J$82,6,0)),"")</f>
        <v/>
      </c>
      <c r="CO29" s="71" t="str">
        <f t="shared" si="17"/>
        <v/>
      </c>
      <c r="CP29" s="33" t="str">
        <f t="shared" si="18"/>
        <v/>
      </c>
      <c r="CQ29" s="32" t="str">
        <f t="shared" si="19"/>
        <v/>
      </c>
      <c r="CR29" s="71" t="str">
        <f t="shared" si="20"/>
        <v/>
      </c>
      <c r="CS29" s="682"/>
      <c r="CT29" s="77" t="s">
        <v>102</v>
      </c>
      <c r="CU29" s="78" t="str">
        <f t="shared" si="21"/>
        <v/>
      </c>
      <c r="CV29" s="684"/>
      <c r="CW29" s="308" t="str">
        <f t="shared" ref="CW29" si="64">$CW28</f>
        <v/>
      </c>
      <c r="CX29" s="70"/>
      <c r="CY29" s="172" t="str">
        <f t="shared" si="22"/>
        <v/>
      </c>
      <c r="DA29" s="32"/>
      <c r="DB29" s="161" t="str">
        <f t="shared" si="23"/>
        <v/>
      </c>
      <c r="DC29" s="744"/>
      <c r="DD29" s="164" t="s">
        <v>102</v>
      </c>
      <c r="DE29" s="165" t="str">
        <f t="shared" si="44"/>
        <v/>
      </c>
      <c r="DF29" s="742"/>
      <c r="DG29" t="str">
        <f>IF($DH29="","",DATEDIF($AZ29,参照データ!$D$19,"Y"))</f>
        <v/>
      </c>
      <c r="DH29" s="253" t="str">
        <f>IFERROR(IF($BA29="男子",VLOOKUP($DO29,参照データ!$D$88:$E$117,2,0),$DO29),0)</f>
        <v/>
      </c>
      <c r="DI29" s="84" t="str">
        <f>IF($Z29="選手権",(VLOOKUP($DH29,参照データ!$D$88:$K$117,3,0)),"")</f>
        <v/>
      </c>
      <c r="DJ29" s="85" t="str">
        <f t="shared" si="7"/>
        <v/>
      </c>
      <c r="DK29" s="84" t="str">
        <f>IF($AB29="選手権",(VLOOKUP($DH29,参照データ!$D$88:$K$117,4,0)),"")</f>
        <v/>
      </c>
      <c r="DL29" s="85" t="str">
        <f t="shared" si="8"/>
        <v/>
      </c>
      <c r="DM29" s="84" t="str">
        <f>IF($AD29="選手権",(VLOOKUP($DH29,参照データ!$D$88:$K$117,5,0)),"")</f>
        <v/>
      </c>
      <c r="DN29" s="85" t="str">
        <f t="shared" si="9"/>
        <v/>
      </c>
      <c r="DO29" s="53" t="str">
        <f>IF(AND($AZ29&gt;=参照データ!$C$90,$AZ29&lt;=参照データ!$C$88),1,IF(AND($AZ29&gt;=参照データ!$C$93,$AZ29&lt;=参照データ!$C$91),2,IF(AND($AZ29&gt;=参照データ!$C$99,$AZ29&lt;=参照データ!$C$97),3,IF(AND($AZ29&gt;=参照データ!$C$105,$AZ29&lt;=参照データ!$C$103),4,IF(AND($AZ29&gt;=参照データ!$C$111,$AZ29&lt;=参照データ!$C$109),5,IF(AND($AZ29&gt;0,$AZ29&lt;=参照データ!$C$112),6,""))))))</f>
        <v/>
      </c>
      <c r="DP29" s="84" t="str">
        <f>IF($AF29="選手権",(VLOOKUP($DO29,参照データ!$D$88:$K$117,6,0)),"")</f>
        <v/>
      </c>
      <c r="DQ29" s="85" t="str">
        <f t="shared" si="10"/>
        <v/>
      </c>
      <c r="DR29" s="84" t="str">
        <f>IF($AH29="選手権",(VLOOKUP($DO29,参照データ!$D$88:$K$117,7,0)),"")</f>
        <v/>
      </c>
      <c r="DS29" s="85" t="str">
        <f t="shared" si="24"/>
        <v/>
      </c>
      <c r="DT29" s="33" t="str">
        <f t="shared" si="25"/>
        <v/>
      </c>
      <c r="DU29" s="32" t="str">
        <f t="shared" si="26"/>
        <v/>
      </c>
      <c r="DV29" s="85" t="str">
        <f t="shared" si="27"/>
        <v/>
      </c>
      <c r="DW29" s="733"/>
      <c r="DX29" s="91" t="s">
        <v>102</v>
      </c>
      <c r="DY29" s="92" t="str">
        <f t="shared" si="37"/>
        <v/>
      </c>
      <c r="DZ29" s="735"/>
      <c r="EA29" s="312" t="str">
        <f t="shared" ref="EA29:EA49" si="65">$EA28</f>
        <v/>
      </c>
      <c r="EC29" s="491" t="str">
        <f t="shared" si="28"/>
        <v/>
      </c>
      <c r="EH29" s="35">
        <f>(COUNTIF($J29:$O29,"&lt;&gt;"))*参照データ!$E$3</f>
        <v>0</v>
      </c>
      <c r="EI29" s="219" t="str">
        <f>IF(P29="○",参照データ!$E$5,"")</f>
        <v/>
      </c>
      <c r="EJ29" s="219" t="str">
        <f>IF($Y29="○",参照データ!$E$4,"")</f>
        <v/>
      </c>
      <c r="EK29" s="18">
        <f>(SUM(COUNTIF($R29:$V29,{"入門","初級"}))*参照データ!$E$9)+(SUM(COUNTIF($R29:$V29,{"中級","上級"})*参照データ!$E$10))</f>
        <v>0</v>
      </c>
      <c r="EL29" s="18">
        <f>IFERROR(VLOOKUP($W29,参照データ!$D$9:$J$11,7,0),0)</f>
        <v>0</v>
      </c>
      <c r="EM29" s="18">
        <f>((COUNTIF($Z29:$AH29,"○"))*参照データ!$E$12)</f>
        <v>0</v>
      </c>
      <c r="EN29" s="18" t="str">
        <f>(IF($AJ29="○",参照データ!$J$12,""))</f>
        <v/>
      </c>
      <c r="EQ29" s="18">
        <f>((COUNTIF($Z29:$AH29,"選手権"))*参照データ!$E$13)</f>
        <v>0</v>
      </c>
      <c r="ER29" s="18" t="str">
        <f>(IF($AJ29="選手権",参照データ!$J$13,""))</f>
        <v/>
      </c>
      <c r="ES29" s="18">
        <f>(COUNTIF($AQ29:$AR29,"&lt;&gt;"))*参照データ!$H$3</f>
        <v>0</v>
      </c>
      <c r="ET29" s="18"/>
      <c r="EU29" s="18" t="str">
        <f>IF(AV29&lt;&gt;"",参照データ!$H$15,"")</f>
        <v/>
      </c>
      <c r="EV29" s="98" cm="1">
        <f t="array" ref="EV29">SUM(IF(ISERROR(EH29:EU29),0,(EH29:EU29)))</f>
        <v>0</v>
      </c>
      <c r="EW29" s="18"/>
      <c r="EX29" s="18">
        <f t="shared" si="11"/>
        <v>0</v>
      </c>
      <c r="EY29" s="18">
        <f t="shared" si="29"/>
        <v>0</v>
      </c>
      <c r="EZ29" s="18">
        <f t="shared" si="38"/>
        <v>0</v>
      </c>
      <c r="FA29" s="18">
        <f t="shared" si="30"/>
        <v>0</v>
      </c>
      <c r="FB29" s="18">
        <f t="shared" si="31"/>
        <v>0</v>
      </c>
      <c r="FC29" s="18">
        <f t="shared" si="32"/>
        <v>0</v>
      </c>
      <c r="FD29" s="18">
        <f t="shared" si="12"/>
        <v>0</v>
      </c>
      <c r="FE29" t="str">
        <f t="shared" si="33"/>
        <v/>
      </c>
    </row>
    <row r="30" spans="1:161" ht="18.75" customHeight="1" x14ac:dyDescent="0.2">
      <c r="A30">
        <v>19</v>
      </c>
      <c r="B30" s="14" t="str">
        <f>IF(D30="","",IF(D30="重複","",COUNTIF(B$12:$B29,"&gt;0")+1))</f>
        <v/>
      </c>
      <c r="C30" s="464"/>
      <c r="D30" s="177"/>
      <c r="E30" s="177"/>
      <c r="F30" s="31"/>
      <c r="G30" s="41"/>
      <c r="H30" s="351">
        <f t="shared" si="34"/>
        <v>0</v>
      </c>
      <c r="I30" s="193" t="str">
        <f>IF($AZ30=0,"",DATEDIF($AZ30,参照データ!$D$16,"Y"))</f>
        <v/>
      </c>
      <c r="J30" s="36"/>
      <c r="K30" s="36"/>
      <c r="L30" s="36"/>
      <c r="M30" s="36"/>
      <c r="N30" s="36"/>
      <c r="O30" s="42"/>
      <c r="P30" s="345"/>
      <c r="Q30" s="345"/>
      <c r="R30" s="43"/>
      <c r="S30" s="244"/>
      <c r="T30" s="244"/>
      <c r="U30" s="244"/>
      <c r="V30" s="245"/>
      <c r="W30" s="248"/>
      <c r="X30" s="250"/>
      <c r="Y30" s="345"/>
      <c r="Z30" s="388"/>
      <c r="AA30" s="346" t="str">
        <f>IF($Z30="○",VLOOKUP($CE30,参照データ!$D$65:$M$82,9,0),IF($Z30="選手権",VLOOKUP($DH30,参照データ!$D$88:$O$117,10,0),""))</f>
        <v/>
      </c>
      <c r="AB30" s="388"/>
      <c r="AC30" s="346" t="str">
        <f>IF($AB30="○",VLOOKUP($CE30,参照データ!$D$65:$M$82,10,0),IF($AB30="選手権",VLOOKUP($DH30,参照データ!$D$88:$O$117,11,0),""))</f>
        <v/>
      </c>
      <c r="AD30" s="388"/>
      <c r="AE30" s="346" t="str">
        <f>IF($AD30="○",VLOOKUP($CE30,参照データ!$D$65:$M$82,10,0),IF($AD30="選手権",VLOOKUP($DH30,参照データ!$D$88:$O$117,11,0),""))</f>
        <v/>
      </c>
      <c r="AF30" s="388"/>
      <c r="AG30" s="346" t="str">
        <f>IF($AF30="○",VLOOKUP($CE30,参照データ!$D$65:$M$82,10,0),IF($AF30="選手権",VLOOKUP($DO30,参照データ!$D$88:$O$117,12,0),""))</f>
        <v/>
      </c>
      <c r="AH30" s="388"/>
      <c r="AI30" s="346" t="str">
        <f>IF($AH30="○",VLOOKUP($CE30,参照データ!$D$65:$M$82,10,0),IF($AH30="選手権",VLOOKUP($DO30,参照データ!$D$88:$O$117,12,0),""))</f>
        <v/>
      </c>
      <c r="AJ30" s="388"/>
      <c r="AK30" s="511"/>
      <c r="AL30" s="346" t="str">
        <f t="shared" si="3"/>
        <v/>
      </c>
      <c r="AM30" s="392"/>
      <c r="AN30" s="391"/>
      <c r="AO30" s="391"/>
      <c r="AP30" s="447"/>
      <c r="AQ30" s="321"/>
      <c r="AR30" s="481"/>
      <c r="AS30" s="393"/>
      <c r="AT30" s="483"/>
      <c r="AU30" s="393"/>
      <c r="AV30" s="529"/>
      <c r="AW30" s="483"/>
      <c r="AZ30">
        <f t="shared" si="50"/>
        <v>0</v>
      </c>
      <c r="BA30" t="str">
        <f t="shared" si="35"/>
        <v/>
      </c>
      <c r="BB30" s="132"/>
      <c r="BD30" s="513" t="str">
        <f t="shared" si="4"/>
        <v/>
      </c>
      <c r="BE30" s="53" t="str">
        <f>IF($AZ30=0,"",IF(AND($I30&gt;=6,$I30&lt;=19),VLOOKUP($I30,参照データ!$B$24:$C$37,2,0),IF($I30&lt;6,6,19)))</f>
        <v/>
      </c>
      <c r="BF30" s="155" t="str">
        <f>IF($J30="○",VLOOKUP($BE30,参照データ!$C$24:$I$37,2,0),"")</f>
        <v/>
      </c>
      <c r="BG30" s="146" t="str">
        <f>IF($K30="○",VLOOKUP($BE30,参照データ!$C$24:$I$37,3,0),"")</f>
        <v/>
      </c>
      <c r="BH30" s="146" t="str">
        <f>IF($L30="○",VLOOKUP($BE30,参照データ!$C$24:$I$37,4,0),"")</f>
        <v/>
      </c>
      <c r="BI30" s="146" t="str">
        <f>IF($M30="○",VLOOKUP($BE30,参照データ!$C$24:$I$37,5,0),"")</f>
        <v/>
      </c>
      <c r="BJ30" s="146" t="str">
        <f>IF($N30="20日",VLOOKUP($BE30,参照データ!$C$24:$I$37,6,0),"")</f>
        <v/>
      </c>
      <c r="BK30" s="156" t="str">
        <f>IF($O30="20日",VLOOKUP($BE30,参照データ!$C$24:$I$37,7,0),"")</f>
        <v/>
      </c>
      <c r="BL30" s="155" t="str">
        <f>IF($J30="21日",VLOOKUP($BE30,参照データ!$C$24:$I$37,2,0),"")</f>
        <v/>
      </c>
      <c r="BM30" s="146" t="str">
        <f>IF($K30="21日",VLOOKUP($BE30,参照データ!$C$24:$I$37,3,0),"")</f>
        <v/>
      </c>
      <c r="BN30" s="146" t="str">
        <f>IF($L30="21日",VLOOKUP($BE30,参照データ!$C$24:$I$37,4,0),"")</f>
        <v/>
      </c>
      <c r="BO30" s="146" t="str">
        <f>IF($M30="21日",VLOOKUP($BE30,参照データ!$C$24:$I$37,5,0),"")</f>
        <v/>
      </c>
      <c r="BP30" s="146" t="str">
        <f>IF($N30="21日",VLOOKUP($BE30,参照データ!$C$24:$I$37,6,0),"")</f>
        <v/>
      </c>
      <c r="BQ30" s="156" t="str">
        <f>IF($O30="21日",VLOOKUP($BE30,参照データ!$C$24:$I$37,7,0),"")</f>
        <v/>
      </c>
      <c r="BR30" s="223" t="str">
        <f t="shared" si="42"/>
        <v/>
      </c>
      <c r="BS30" s="154" t="str">
        <f>IF($R30="入門",VLOOKUP($BE30,参照データ!$C$43:$U$56,2,0),IF($R30="初級",VLOOKUP($BE30,参照データ!$C$43:$U$56,3,0),IF($R30="中級",VLOOKUP($BE30,参照データ!$C$43:$U$56,4,0),IF($R30="上級",VLOOKUP($BE30,参照データ!$C$43:$U$56,5,0),""))))</f>
        <v/>
      </c>
      <c r="BT30" s="154" t="str">
        <f>IF($S30="初級",VLOOKUP($BE30,参照データ!$C$43:$U$56,6,0),IF($S30="中級",VLOOKUP($BE30,参照データ!$C$43:$U$56,7,0),IF($S30="上級",VLOOKUP($BE30,参照データ!$C$43:$U$56,8,0),"")))</f>
        <v/>
      </c>
      <c r="BU30" s="154" t="str">
        <f>IF($T30="初級",VLOOKUP($BE30,参照データ!$C$43:$U$56,9,0),IF($T30="上級",VLOOKUP($BE30,参照データ!$C$43:$U$56,10,0),""))</f>
        <v/>
      </c>
      <c r="BV30" s="154" t="str">
        <f>IF($U30="初級",VLOOKUP($BE30,参照データ!$C$43:$U$56,11,0),IF($U30="中級",VLOOKUP($BE30,参照データ!$C$43:$U$56,12,0),IF($U30="上級",VLOOKUP($BE30,参照データ!$C$43:$U$56,13,0),"")))</f>
        <v/>
      </c>
      <c r="BW30" s="154" t="str">
        <f>IF($V30="初級",VLOOKUP($BE30,参照データ!$C$43:$U$56,14,0),IF($V30="中級",VLOOKUP($BE30,参照データ!$C$43:$U$56,15,0),IF($V30="上級",VLOOKUP($BE30,参照データ!$C$43:$U$56,16,0),"")))</f>
        <v/>
      </c>
      <c r="BX30" s="47" t="str">
        <f t="shared" si="5"/>
        <v/>
      </c>
      <c r="BY30" s="47" t="str">
        <f>IF($W30="初級",VLOOKUP($BE30,参照データ!$C$43:$U$56,17,0),IF($W30="中級",VLOOKUP($BE30,参照データ!$C$43:$U$56,18,0),IF($W30="上級",VLOOKUP($BE30,参照データ!$C$43:$U$56,19,0),"")))</f>
        <v/>
      </c>
      <c r="BZ30" s="686">
        <v>10</v>
      </c>
      <c r="CA30" s="66" t="s">
        <v>242</v>
      </c>
      <c r="CB30" s="136" t="str">
        <f t="shared" si="13"/>
        <v/>
      </c>
      <c r="CC30" s="688" t="str">
        <f t="shared" ref="CC30" si="66">IF(OR($CB30="",$CB31=""),"",IF($CB30&gt;$CB31,$CB30,$CB31))</f>
        <v/>
      </c>
      <c r="CE30" s="53" t="str">
        <f>IF(AND($AZ30&gt;=参照データ!$C$67,$AZ30&lt;=参照データ!$C$65),1,IF(AND($AZ30&gt;=参照データ!$C$70,$AZ30&lt;=参照データ!$C$68),2,IF(AND($AZ30&gt;=参照データ!$C$73,$AZ30&lt;=参照データ!$C$71),3,IF(AND($AZ30&gt;=参照データ!$C$76,$AZ30&lt;=参照データ!$C$74),4,IF(AND($AZ30&gt;=参照データ!$C$79,$AZ30&lt;=参照データ!$C$77),5,IF(AND($AZ30&gt;0,$AZ30&lt;=参照データ!$C$80),6,""))))))</f>
        <v/>
      </c>
      <c r="CF30" s="141" t="str">
        <f>IF($Z30="○",(VLOOKUP($CE30,参照データ!$D$65:$J$82,2,0)),"")</f>
        <v/>
      </c>
      <c r="CG30" s="71" t="str">
        <f t="shared" si="14"/>
        <v/>
      </c>
      <c r="CH30" s="70" t="str">
        <f>IF($AB30="○",(VLOOKUP($CE30,参照データ!$D$65:$J$82,3,0)),"")</f>
        <v/>
      </c>
      <c r="CI30" s="71" t="str">
        <f t="shared" si="15"/>
        <v/>
      </c>
      <c r="CJ30" s="70" t="str">
        <f>IF($AD30="○",(VLOOKUP($CE30,参照データ!$D$65:$J$82,4,0)),"")</f>
        <v/>
      </c>
      <c r="CK30" s="71" t="str">
        <f t="shared" si="16"/>
        <v/>
      </c>
      <c r="CL30" s="70" t="str">
        <f>IF($AF30="○",(VLOOKUP($CE30,参照データ!$D$65:$J$82,5,0)),"")</f>
        <v/>
      </c>
      <c r="CM30" s="71" t="str">
        <f t="shared" si="6"/>
        <v/>
      </c>
      <c r="CN30" s="70" t="str">
        <f>IF($AH30="○",(VLOOKUP($CE30,参照データ!$D$65:$J$82,6,0)),"")</f>
        <v/>
      </c>
      <c r="CO30" s="71" t="str">
        <f t="shared" si="17"/>
        <v/>
      </c>
      <c r="CP30" s="33" t="str">
        <f t="shared" si="18"/>
        <v/>
      </c>
      <c r="CQ30" s="32" t="str">
        <f t="shared" si="19"/>
        <v/>
      </c>
      <c r="CR30" s="71" t="str">
        <f t="shared" si="20"/>
        <v/>
      </c>
      <c r="CS30" s="681">
        <v>10</v>
      </c>
      <c r="CT30" s="79" t="s">
        <v>103</v>
      </c>
      <c r="CU30" s="80" t="str">
        <f t="shared" si="21"/>
        <v/>
      </c>
      <c r="CV30" s="683" t="e">
        <f>IF($CU30&gt;$CU31,VLOOKUP($CU30,参照データ!$D$65:$J$82,7,0),VLOOKUP($CU31,参照データ!$D$65:$J$82,7,0))</f>
        <v>#N/A</v>
      </c>
      <c r="CW30" s="308" t="str">
        <f>IFERROR(VLOOKUP($CV30,参照データ!$J$65:$M$82,4,0),"")</f>
        <v/>
      </c>
      <c r="CX30" s="70"/>
      <c r="CY30" s="172" t="str">
        <f t="shared" si="22"/>
        <v/>
      </c>
      <c r="DA30" s="32"/>
      <c r="DB30" s="161" t="str">
        <f t="shared" si="23"/>
        <v/>
      </c>
      <c r="DC30" s="743">
        <v>10</v>
      </c>
      <c r="DD30" s="166" t="s">
        <v>103</v>
      </c>
      <c r="DE30" s="167" t="str">
        <f t="shared" si="44"/>
        <v/>
      </c>
      <c r="DF30" s="741" t="str">
        <f>IF(OR(DE30="",DE31=""),"",IF(DE30&gt;DE31,DE30,DE31))</f>
        <v/>
      </c>
      <c r="DG30" t="str">
        <f>IF($DH30="","",DATEDIF($AZ30,参照データ!$D$19,"Y"))</f>
        <v/>
      </c>
      <c r="DH30" s="253" t="str">
        <f>IFERROR(IF($BA30="男子",VLOOKUP($DO30,参照データ!$D$88:$E$117,2,0),$DO30),0)</f>
        <v/>
      </c>
      <c r="DI30" s="84" t="str">
        <f>IF($Z30="選手権",(VLOOKUP($DH30,参照データ!$D$88:$K$117,3,0)),"")</f>
        <v/>
      </c>
      <c r="DJ30" s="85" t="str">
        <f t="shared" si="7"/>
        <v/>
      </c>
      <c r="DK30" s="84" t="str">
        <f>IF($AB30="選手権",(VLOOKUP($DH30,参照データ!$D$88:$K$117,4,0)),"")</f>
        <v/>
      </c>
      <c r="DL30" s="85" t="str">
        <f t="shared" si="8"/>
        <v/>
      </c>
      <c r="DM30" s="84" t="str">
        <f>IF($AD30="選手権",(VLOOKUP($DH30,参照データ!$D$88:$K$117,5,0)),"")</f>
        <v/>
      </c>
      <c r="DN30" s="85" t="str">
        <f t="shared" si="9"/>
        <v/>
      </c>
      <c r="DO30" s="53" t="str">
        <f>IF(AND($AZ30&gt;=参照データ!$C$90,$AZ30&lt;=参照データ!$C$88),1,IF(AND($AZ30&gt;=参照データ!$C$93,$AZ30&lt;=参照データ!$C$91),2,IF(AND($AZ30&gt;=参照データ!$C$99,$AZ30&lt;=参照データ!$C$97),3,IF(AND($AZ30&gt;=参照データ!$C$105,$AZ30&lt;=参照データ!$C$103),4,IF(AND($AZ30&gt;=参照データ!$C$111,$AZ30&lt;=参照データ!$C$109),5,IF(AND($AZ30&gt;0,$AZ30&lt;=参照データ!$C$112),6,""))))))</f>
        <v/>
      </c>
      <c r="DP30" s="84" t="str">
        <f>IF($AF30="選手権",(VLOOKUP($DO30,参照データ!$D$88:$K$117,6,0)),"")</f>
        <v/>
      </c>
      <c r="DQ30" s="85" t="str">
        <f t="shared" si="10"/>
        <v/>
      </c>
      <c r="DR30" s="84" t="str">
        <f>IF($AH30="選手権",(VLOOKUP($DO30,参照データ!$D$88:$K$117,7,0)),"")</f>
        <v/>
      </c>
      <c r="DS30" s="85" t="str">
        <f t="shared" si="24"/>
        <v/>
      </c>
      <c r="DT30" s="33" t="str">
        <f t="shared" si="25"/>
        <v/>
      </c>
      <c r="DU30" s="32" t="str">
        <f t="shared" si="26"/>
        <v/>
      </c>
      <c r="DV30" s="85" t="str">
        <f t="shared" si="27"/>
        <v/>
      </c>
      <c r="DW30" s="736">
        <v>10</v>
      </c>
      <c r="DX30" s="93" t="s">
        <v>103</v>
      </c>
      <c r="DY30" s="94" t="str">
        <f t="shared" si="37"/>
        <v/>
      </c>
      <c r="DZ30" s="737" t="e">
        <f>IF($DY30&gt;$DY31,VLOOKUP($DY30,参照データ!$D$88:$K$117,8,0),VLOOKUP($DY31,参照データ!$D$88:$K$117,8,0))</f>
        <v>#N/A</v>
      </c>
      <c r="EA30" s="312" t="str">
        <f>IFERROR(VLOOKUP($DZ30,参照データ!$K$88:$O$117,5,0),"")</f>
        <v/>
      </c>
      <c r="EC30" s="491" t="str">
        <f t="shared" si="28"/>
        <v/>
      </c>
      <c r="EH30" s="35">
        <f>(COUNTIF($J30:$O30,"&lt;&gt;"))*参照データ!$E$3</f>
        <v>0</v>
      </c>
      <c r="EI30" s="219" t="str">
        <f>IF(P30="○",参照データ!$E$5,"")</f>
        <v/>
      </c>
      <c r="EJ30" s="219" t="str">
        <f>IF($Y30="○",参照データ!$E$4,"")</f>
        <v/>
      </c>
      <c r="EK30" s="18">
        <f>(SUM(COUNTIF($R30:$V30,{"入門","初級"}))*参照データ!$E$9)+(SUM(COUNTIF($R30:$V30,{"中級","上級"})*参照データ!$E$10))</f>
        <v>0</v>
      </c>
      <c r="EL30" s="18">
        <f>IFERROR(VLOOKUP($W30,参照データ!$D$9:$J$11,7,0),0)</f>
        <v>0</v>
      </c>
      <c r="EM30" s="18">
        <f>((COUNTIF($Z30:$AH30,"○"))*参照データ!$E$12)</f>
        <v>0</v>
      </c>
      <c r="EN30" s="18" t="str">
        <f>(IF($AJ30="○",参照データ!$J$12,""))</f>
        <v/>
      </c>
      <c r="EQ30" s="18">
        <f>((COUNTIF($Z30:$AH30,"選手権"))*参照データ!$E$13)</f>
        <v>0</v>
      </c>
      <c r="ER30" s="18" t="str">
        <f>(IF($AJ30="選手権",参照データ!$J$13,""))</f>
        <v/>
      </c>
      <c r="ES30" s="18">
        <f>(COUNTIF($AQ30:$AR30,"&lt;&gt;"))*参照データ!$H$3</f>
        <v>0</v>
      </c>
      <c r="ET30" s="18"/>
      <c r="EU30" s="18" t="str">
        <f>IF(AV30&lt;&gt;"",参照データ!$H$15,"")</f>
        <v/>
      </c>
      <c r="EV30" s="98" cm="1">
        <f t="array" ref="EV30">SUM(IF(ISERROR(EH30:EU30),0,(EH30:EU30)))</f>
        <v>0</v>
      </c>
      <c r="EW30" s="18"/>
      <c r="EX30" s="18">
        <f t="shared" si="11"/>
        <v>0</v>
      </c>
      <c r="EY30" s="18">
        <f t="shared" si="29"/>
        <v>0</v>
      </c>
      <c r="EZ30" s="18">
        <f t="shared" si="38"/>
        <v>0</v>
      </c>
      <c r="FA30" s="18">
        <f t="shared" si="30"/>
        <v>0</v>
      </c>
      <c r="FB30" s="18">
        <f t="shared" si="31"/>
        <v>0</v>
      </c>
      <c r="FC30" s="18">
        <f t="shared" si="32"/>
        <v>0</v>
      </c>
      <c r="FD30" s="18">
        <f t="shared" si="12"/>
        <v>0</v>
      </c>
      <c r="FE30" t="str">
        <f t="shared" si="33"/>
        <v/>
      </c>
    </row>
    <row r="31" spans="1:161" ht="18.75" customHeight="1" x14ac:dyDescent="0.2">
      <c r="A31">
        <v>20</v>
      </c>
      <c r="B31" s="14" t="str">
        <f>IF(D31="","",IF(D31="重複","",COUNTIF(B$12:$B30,"&gt;0")+1))</f>
        <v/>
      </c>
      <c r="C31" s="464"/>
      <c r="D31" s="177"/>
      <c r="E31" s="177"/>
      <c r="F31" s="31"/>
      <c r="G31" s="41"/>
      <c r="H31" s="351">
        <f t="shared" si="34"/>
        <v>0</v>
      </c>
      <c r="I31" s="193" t="str">
        <f>IF($AZ31=0,"",DATEDIF($AZ31,参照データ!$D$16,"Y"))</f>
        <v/>
      </c>
      <c r="J31" s="36"/>
      <c r="K31" s="36"/>
      <c r="L31" s="36"/>
      <c r="M31" s="36"/>
      <c r="N31" s="36"/>
      <c r="O31" s="42"/>
      <c r="P31" s="345"/>
      <c r="Q31" s="345"/>
      <c r="R31" s="43"/>
      <c r="S31" s="244"/>
      <c r="T31" s="244"/>
      <c r="U31" s="244"/>
      <c r="V31" s="245"/>
      <c r="W31" s="248"/>
      <c r="X31" s="250"/>
      <c r="Y31" s="345"/>
      <c r="Z31" s="388"/>
      <c r="AA31" s="346" t="str">
        <f>IF($Z31="○",VLOOKUP($CE31,参照データ!$D$65:$M$82,9,0),IF($Z31="選手権",VLOOKUP($DH31,参照データ!$D$88:$O$117,10,0),""))</f>
        <v/>
      </c>
      <c r="AB31" s="388"/>
      <c r="AC31" s="346" t="str">
        <f>IF($AB31="○",VLOOKUP($CE31,参照データ!$D$65:$M$82,10,0),IF($AB31="選手権",VLOOKUP($DH31,参照データ!$D$88:$O$117,11,0),""))</f>
        <v/>
      </c>
      <c r="AD31" s="388"/>
      <c r="AE31" s="346" t="str">
        <f>IF($AD31="○",VLOOKUP($CE31,参照データ!$D$65:$M$82,10,0),IF($AD31="選手権",VLOOKUP($DH31,参照データ!$D$88:$O$117,11,0),""))</f>
        <v/>
      </c>
      <c r="AF31" s="388"/>
      <c r="AG31" s="346" t="str">
        <f>IF($AF31="○",VLOOKUP($CE31,参照データ!$D$65:$M$82,10,0),IF($AF31="選手権",VLOOKUP($DO31,参照データ!$D$88:$O$117,12,0),""))</f>
        <v/>
      </c>
      <c r="AH31" s="388"/>
      <c r="AI31" s="346" t="str">
        <f>IF($AH31="○",VLOOKUP($CE31,参照データ!$D$65:$M$82,10,0),IF($AH31="選手権",VLOOKUP($DO31,参照データ!$D$88:$O$117,12,0),""))</f>
        <v/>
      </c>
      <c r="AJ31" s="388"/>
      <c r="AK31" s="511"/>
      <c r="AL31" s="346" t="str">
        <f t="shared" si="3"/>
        <v/>
      </c>
      <c r="AM31" s="392"/>
      <c r="AN31" s="391"/>
      <c r="AO31" s="391"/>
      <c r="AP31" s="447"/>
      <c r="AQ31" s="321"/>
      <c r="AR31" s="481"/>
      <c r="AS31" s="393"/>
      <c r="AT31" s="483"/>
      <c r="AU31" s="393"/>
      <c r="AV31" s="529"/>
      <c r="AW31" s="483"/>
      <c r="AZ31">
        <f t="shared" si="50"/>
        <v>0</v>
      </c>
      <c r="BA31" t="str">
        <f t="shared" si="35"/>
        <v/>
      </c>
      <c r="BB31" s="132"/>
      <c r="BD31" s="513" t="str">
        <f t="shared" si="4"/>
        <v/>
      </c>
      <c r="BE31" s="53" t="str">
        <f>IF($AZ31=0,"",IF(AND($I31&gt;=6,$I31&lt;=19),VLOOKUP($I31,参照データ!$B$24:$C$37,2,0),IF($I31&lt;6,6,19)))</f>
        <v/>
      </c>
      <c r="BF31" s="155" t="str">
        <f>IF($J31="○",VLOOKUP($BE31,参照データ!$C$24:$I$37,2,0),"")</f>
        <v/>
      </c>
      <c r="BG31" s="146" t="str">
        <f>IF($K31="○",VLOOKUP($BE31,参照データ!$C$24:$I$37,3,0),"")</f>
        <v/>
      </c>
      <c r="BH31" s="146" t="str">
        <f>IF($L31="○",VLOOKUP($BE31,参照データ!$C$24:$I$37,4,0),"")</f>
        <v/>
      </c>
      <c r="BI31" s="146" t="str">
        <f>IF($M31="○",VLOOKUP($BE31,参照データ!$C$24:$I$37,5,0),"")</f>
        <v/>
      </c>
      <c r="BJ31" s="146" t="str">
        <f>IF($N31="20日",VLOOKUP($BE31,参照データ!$C$24:$I$37,6,0),"")</f>
        <v/>
      </c>
      <c r="BK31" s="156" t="str">
        <f>IF($O31="20日",VLOOKUP($BE31,参照データ!$C$24:$I$37,7,0),"")</f>
        <v/>
      </c>
      <c r="BL31" s="155" t="str">
        <f>IF($J31="21日",VLOOKUP($BE31,参照データ!$C$24:$I$37,2,0),"")</f>
        <v/>
      </c>
      <c r="BM31" s="146" t="str">
        <f>IF($K31="21日",VLOOKUP($BE31,参照データ!$C$24:$I$37,3,0),"")</f>
        <v/>
      </c>
      <c r="BN31" s="146" t="str">
        <f>IF($L31="21日",VLOOKUP($BE31,参照データ!$C$24:$I$37,4,0),"")</f>
        <v/>
      </c>
      <c r="BO31" s="146" t="str">
        <f>IF($M31="21日",VLOOKUP($BE31,参照データ!$C$24:$I$37,5,0),"")</f>
        <v/>
      </c>
      <c r="BP31" s="146" t="str">
        <f>IF($N31="21日",VLOOKUP($BE31,参照データ!$C$24:$I$37,6,0),"")</f>
        <v/>
      </c>
      <c r="BQ31" s="156" t="str">
        <f>IF($O31="21日",VLOOKUP($BE31,参照データ!$C$24:$I$37,7,0),"")</f>
        <v/>
      </c>
      <c r="BR31" s="223" t="str">
        <f t="shared" si="42"/>
        <v/>
      </c>
      <c r="BS31" s="154" t="str">
        <f>IF($R31="入門",VLOOKUP($BE31,参照データ!$C$43:$U$56,2,0),IF($R31="初級",VLOOKUP($BE31,参照データ!$C$43:$U$56,3,0),IF($R31="中級",VLOOKUP($BE31,参照データ!$C$43:$U$56,4,0),IF($R31="上級",VLOOKUP($BE31,参照データ!$C$43:$U$56,5,0),""))))</f>
        <v/>
      </c>
      <c r="BT31" s="154" t="str">
        <f>IF($S31="初級",VLOOKUP($BE31,参照データ!$C$43:$U$56,6,0),IF($S31="中級",VLOOKUP($BE31,参照データ!$C$43:$U$56,7,0),IF($S31="上級",VLOOKUP($BE31,参照データ!$C$43:$U$56,8,0),"")))</f>
        <v/>
      </c>
      <c r="BU31" s="154" t="str">
        <f>IF($T31="初級",VLOOKUP($BE31,参照データ!$C$43:$U$56,9,0),IF($T31="上級",VLOOKUP($BE31,参照データ!$C$43:$U$56,10,0),""))</f>
        <v/>
      </c>
      <c r="BV31" s="154" t="str">
        <f>IF($U31="初級",VLOOKUP($BE31,参照データ!$C$43:$U$56,11,0),IF($U31="中級",VLOOKUP($BE31,参照データ!$C$43:$U$56,12,0),IF($U31="上級",VLOOKUP($BE31,参照データ!$C$43:$U$56,13,0),"")))</f>
        <v/>
      </c>
      <c r="BW31" s="154" t="str">
        <f>IF($V31="初級",VLOOKUP($BE31,参照データ!$C$43:$U$56,14,0),IF($V31="中級",VLOOKUP($BE31,参照データ!$C$43:$U$56,15,0),IF($V31="上級",VLOOKUP($BE31,参照データ!$C$43:$U$56,16,0),"")))</f>
        <v/>
      </c>
      <c r="BX31" s="47" t="str">
        <f t="shared" si="5"/>
        <v/>
      </c>
      <c r="BY31" s="47" t="str">
        <f>IF($W31="初級",VLOOKUP($BE31,参照データ!$C$43:$U$56,17,0),IF($W31="中級",VLOOKUP($BE31,参照データ!$C$43:$U$56,18,0),IF($W31="上級",VLOOKUP($BE31,参照データ!$C$43:$U$56,19,0),"")))</f>
        <v/>
      </c>
      <c r="BZ31" s="687"/>
      <c r="CA31" s="65" t="s">
        <v>243</v>
      </c>
      <c r="CB31" s="135" t="str">
        <f t="shared" si="13"/>
        <v/>
      </c>
      <c r="CC31" s="689"/>
      <c r="CE31" s="53" t="str">
        <f>IF(AND($AZ31&gt;=参照データ!$C$67,$AZ31&lt;=参照データ!$C$65),1,IF(AND($AZ31&gt;=参照データ!$C$70,$AZ31&lt;=参照データ!$C$68),2,IF(AND($AZ31&gt;=参照データ!$C$73,$AZ31&lt;=参照データ!$C$71),3,IF(AND($AZ31&gt;=参照データ!$C$76,$AZ31&lt;=参照データ!$C$74),4,IF(AND($AZ31&gt;=参照データ!$C$79,$AZ31&lt;=参照データ!$C$77),5,IF(AND($AZ31&gt;0,$AZ31&lt;=参照データ!$C$80),6,""))))))</f>
        <v/>
      </c>
      <c r="CF31" s="141" t="str">
        <f>IF($Z31="○",(VLOOKUP($CE31,参照データ!$D$65:$J$82,2,0)),"")</f>
        <v/>
      </c>
      <c r="CG31" s="71" t="str">
        <f t="shared" si="14"/>
        <v/>
      </c>
      <c r="CH31" s="70" t="str">
        <f>IF($AB31="○",(VLOOKUP($CE31,参照データ!$D$65:$J$82,3,0)),"")</f>
        <v/>
      </c>
      <c r="CI31" s="71" t="str">
        <f t="shared" si="15"/>
        <v/>
      </c>
      <c r="CJ31" s="70" t="str">
        <f>IF($AD31="○",(VLOOKUP($CE31,参照データ!$D$65:$J$82,4,0)),"")</f>
        <v/>
      </c>
      <c r="CK31" s="71" t="str">
        <f t="shared" si="16"/>
        <v/>
      </c>
      <c r="CL31" s="70" t="str">
        <f>IF($AF31="○",(VLOOKUP($CE31,参照データ!$D$65:$J$82,5,0)),"")</f>
        <v/>
      </c>
      <c r="CM31" s="71" t="str">
        <f t="shared" si="6"/>
        <v/>
      </c>
      <c r="CN31" s="70" t="str">
        <f>IF($AH31="○",(VLOOKUP($CE31,参照データ!$D$65:$J$82,6,0)),"")</f>
        <v/>
      </c>
      <c r="CO31" s="71" t="str">
        <f t="shared" si="17"/>
        <v/>
      </c>
      <c r="CP31" s="33" t="str">
        <f t="shared" si="18"/>
        <v/>
      </c>
      <c r="CQ31" s="32" t="str">
        <f t="shared" si="19"/>
        <v/>
      </c>
      <c r="CR31" s="71" t="str">
        <f t="shared" si="20"/>
        <v/>
      </c>
      <c r="CS31" s="682"/>
      <c r="CT31" s="77" t="s">
        <v>104</v>
      </c>
      <c r="CU31" s="78" t="str">
        <f t="shared" si="21"/>
        <v/>
      </c>
      <c r="CV31" s="684"/>
      <c r="CW31" s="308" t="str">
        <f t="shared" ref="CW31" si="67">$CW30</f>
        <v/>
      </c>
      <c r="CX31" s="70"/>
      <c r="CY31" s="172" t="str">
        <f t="shared" si="22"/>
        <v/>
      </c>
      <c r="DA31" s="32"/>
      <c r="DB31" s="161" t="str">
        <f t="shared" si="23"/>
        <v/>
      </c>
      <c r="DC31" s="744"/>
      <c r="DD31" s="164" t="s">
        <v>104</v>
      </c>
      <c r="DE31" s="165" t="str">
        <f t="shared" si="44"/>
        <v/>
      </c>
      <c r="DF31" s="742"/>
      <c r="DG31" t="str">
        <f>IF($DH31="","",DATEDIF($AZ31,参照データ!$D$19,"Y"))</f>
        <v/>
      </c>
      <c r="DH31" s="253" t="str">
        <f>IFERROR(IF($BA31="男子",VLOOKUP($DO31,参照データ!$D$88:$E$117,2,0),$DO31),0)</f>
        <v/>
      </c>
      <c r="DI31" s="84" t="str">
        <f>IF($Z31="選手権",(VLOOKUP($DH31,参照データ!$D$88:$K$117,3,0)),"")</f>
        <v/>
      </c>
      <c r="DJ31" s="85" t="str">
        <f t="shared" si="7"/>
        <v/>
      </c>
      <c r="DK31" s="84" t="str">
        <f>IF($AB31="選手権",(VLOOKUP($DH31,参照データ!$D$88:$K$117,4,0)),"")</f>
        <v/>
      </c>
      <c r="DL31" s="85" t="str">
        <f t="shared" si="8"/>
        <v/>
      </c>
      <c r="DM31" s="84" t="str">
        <f>IF($AD31="選手権",(VLOOKUP($DH31,参照データ!$D$88:$K$117,5,0)),"")</f>
        <v/>
      </c>
      <c r="DN31" s="85" t="str">
        <f t="shared" si="9"/>
        <v/>
      </c>
      <c r="DO31" s="53" t="str">
        <f>IF(AND($AZ31&gt;=参照データ!$C$90,$AZ31&lt;=参照データ!$C$88),1,IF(AND($AZ31&gt;=参照データ!$C$93,$AZ31&lt;=参照データ!$C$91),2,IF(AND($AZ31&gt;=参照データ!$C$99,$AZ31&lt;=参照データ!$C$97),3,IF(AND($AZ31&gt;=参照データ!$C$105,$AZ31&lt;=参照データ!$C$103),4,IF(AND($AZ31&gt;=参照データ!$C$111,$AZ31&lt;=参照データ!$C$109),5,IF(AND($AZ31&gt;0,$AZ31&lt;=参照データ!$C$112),6,""))))))</f>
        <v/>
      </c>
      <c r="DP31" s="84" t="str">
        <f>IF($AF31="選手権",(VLOOKUP($DO31,参照データ!$D$88:$K$117,6,0)),"")</f>
        <v/>
      </c>
      <c r="DQ31" s="85" t="str">
        <f t="shared" si="10"/>
        <v/>
      </c>
      <c r="DR31" s="84" t="str">
        <f>IF($AH31="選手権",(VLOOKUP($DO31,参照データ!$D$88:$K$117,7,0)),"")</f>
        <v/>
      </c>
      <c r="DS31" s="85" t="str">
        <f t="shared" si="24"/>
        <v/>
      </c>
      <c r="DT31" s="33" t="str">
        <f t="shared" si="25"/>
        <v/>
      </c>
      <c r="DU31" s="32" t="str">
        <f t="shared" si="26"/>
        <v/>
      </c>
      <c r="DV31" s="85" t="str">
        <f t="shared" si="27"/>
        <v/>
      </c>
      <c r="DW31" s="733"/>
      <c r="DX31" s="91" t="s">
        <v>104</v>
      </c>
      <c r="DY31" s="92" t="str">
        <f t="shared" si="37"/>
        <v/>
      </c>
      <c r="DZ31" s="735"/>
      <c r="EA31" s="312" t="str">
        <f t="shared" si="65"/>
        <v/>
      </c>
      <c r="EC31" s="491" t="str">
        <f t="shared" si="28"/>
        <v/>
      </c>
      <c r="EH31" s="35">
        <f>(COUNTIF($J31:$O31,"&lt;&gt;"))*参照データ!$E$3</f>
        <v>0</v>
      </c>
      <c r="EI31" s="219" t="str">
        <f>IF(P31="○",参照データ!$E$5,"")</f>
        <v/>
      </c>
      <c r="EJ31" s="219" t="str">
        <f>IF($Y31="○",参照データ!$E$4,"")</f>
        <v/>
      </c>
      <c r="EK31" s="18">
        <f>(SUM(COUNTIF($R31:$V31,{"入門","初級"}))*参照データ!$E$9)+(SUM(COUNTIF($R31:$V31,{"中級","上級"})*参照データ!$E$10))</f>
        <v>0</v>
      </c>
      <c r="EL31" s="18">
        <f>IFERROR(VLOOKUP($W31,参照データ!$D$9:$J$11,7,0),0)</f>
        <v>0</v>
      </c>
      <c r="EM31" s="18">
        <f>((COUNTIF($Z31:$AH31,"○"))*参照データ!$E$12)</f>
        <v>0</v>
      </c>
      <c r="EN31" s="18" t="str">
        <f>(IF($AJ31="○",参照データ!$J$12,""))</f>
        <v/>
      </c>
      <c r="EQ31" s="18">
        <f>((COUNTIF($Z31:$AH31,"選手権"))*参照データ!$E$13)</f>
        <v>0</v>
      </c>
      <c r="ER31" s="18" t="str">
        <f>(IF($AJ31="選手権",参照データ!$J$13,""))</f>
        <v/>
      </c>
      <c r="ES31" s="18">
        <f>(COUNTIF($AQ31:$AR31,"&lt;&gt;"))*参照データ!$H$3</f>
        <v>0</v>
      </c>
      <c r="ET31" s="18"/>
      <c r="EU31" s="18" t="str">
        <f>IF(AV31&lt;&gt;"",参照データ!$H$15,"")</f>
        <v/>
      </c>
      <c r="EV31" s="98" cm="1">
        <f t="array" ref="EV31">SUM(IF(ISERROR(EH31:EU31),0,(EH31:EU31)))</f>
        <v>0</v>
      </c>
      <c r="EW31" s="18"/>
      <c r="EX31" s="18">
        <f t="shared" si="11"/>
        <v>0</v>
      </c>
      <c r="EY31" s="18">
        <f t="shared" si="29"/>
        <v>0</v>
      </c>
      <c r="EZ31" s="18">
        <f t="shared" si="38"/>
        <v>0</v>
      </c>
      <c r="FA31" s="18">
        <f t="shared" si="30"/>
        <v>0</v>
      </c>
      <c r="FB31" s="18">
        <f t="shared" si="31"/>
        <v>0</v>
      </c>
      <c r="FC31" s="18">
        <f t="shared" si="32"/>
        <v>0</v>
      </c>
      <c r="FD31" s="18">
        <f t="shared" si="12"/>
        <v>0</v>
      </c>
      <c r="FE31" t="str">
        <f t="shared" si="33"/>
        <v/>
      </c>
    </row>
    <row r="32" spans="1:161" ht="18.75" customHeight="1" x14ac:dyDescent="0.2">
      <c r="A32">
        <v>21</v>
      </c>
      <c r="B32" s="14" t="str">
        <f>IF(D32="","",IF(D32="重複","",COUNTIF(B$12:$B31,"&gt;0")+1))</f>
        <v/>
      </c>
      <c r="C32" s="464"/>
      <c r="D32" s="177"/>
      <c r="E32" s="177"/>
      <c r="F32" s="31"/>
      <c r="G32" s="41"/>
      <c r="H32" s="351">
        <f t="shared" si="34"/>
        <v>0</v>
      </c>
      <c r="I32" s="193" t="str">
        <f>IF($AZ32=0,"",DATEDIF($AZ32,参照データ!$D$16,"Y"))</f>
        <v/>
      </c>
      <c r="J32" s="36"/>
      <c r="K32" s="36"/>
      <c r="L32" s="36"/>
      <c r="M32" s="36"/>
      <c r="N32" s="36"/>
      <c r="O32" s="42"/>
      <c r="P32" s="345"/>
      <c r="Q32" s="345"/>
      <c r="R32" s="43"/>
      <c r="S32" s="244"/>
      <c r="T32" s="244"/>
      <c r="U32" s="244"/>
      <c r="V32" s="245"/>
      <c r="W32" s="248"/>
      <c r="X32" s="250"/>
      <c r="Y32" s="345"/>
      <c r="Z32" s="388"/>
      <c r="AA32" s="346" t="str">
        <f>IF($Z32="○",VLOOKUP($CE32,参照データ!$D$65:$M$82,9,0),IF($Z32="選手権",VLOOKUP($DH32,参照データ!$D$88:$O$117,10,0),""))</f>
        <v/>
      </c>
      <c r="AB32" s="388"/>
      <c r="AC32" s="346" t="str">
        <f>IF($AB32="○",VLOOKUP($CE32,参照データ!$D$65:$M$82,10,0),IF($AB32="選手権",VLOOKUP($DH32,参照データ!$D$88:$O$117,11,0),""))</f>
        <v/>
      </c>
      <c r="AD32" s="388"/>
      <c r="AE32" s="346" t="str">
        <f>IF($AD32="○",VLOOKUP($CE32,参照データ!$D$65:$M$82,10,0),IF($AD32="選手権",VLOOKUP($DH32,参照データ!$D$88:$O$117,11,0),""))</f>
        <v/>
      </c>
      <c r="AF32" s="388"/>
      <c r="AG32" s="346" t="str">
        <f>IF($AF32="○",VLOOKUP($CE32,参照データ!$D$65:$M$82,10,0),IF($AF32="選手権",VLOOKUP($DO32,参照データ!$D$88:$O$117,12,0),""))</f>
        <v/>
      </c>
      <c r="AH32" s="388"/>
      <c r="AI32" s="346" t="str">
        <f>IF($AH32="○",VLOOKUP($CE32,参照データ!$D$65:$M$82,10,0),IF($AH32="選手権",VLOOKUP($DO32,参照データ!$D$88:$O$117,12,0),""))</f>
        <v/>
      </c>
      <c r="AJ32" s="388"/>
      <c r="AK32" s="511"/>
      <c r="AL32" s="346" t="str">
        <f t="shared" si="3"/>
        <v/>
      </c>
      <c r="AM32" s="392"/>
      <c r="AN32" s="391"/>
      <c r="AO32" s="391"/>
      <c r="AP32" s="447"/>
      <c r="AQ32" s="321"/>
      <c r="AR32" s="481"/>
      <c r="AS32" s="393"/>
      <c r="AT32" s="483"/>
      <c r="AU32" s="393"/>
      <c r="AV32" s="529"/>
      <c r="AW32" s="483"/>
      <c r="AZ32">
        <f t="shared" si="50"/>
        <v>0</v>
      </c>
      <c r="BA32" t="str">
        <f t="shared" si="35"/>
        <v/>
      </c>
      <c r="BB32" s="132"/>
      <c r="BD32" s="513" t="str">
        <f t="shared" si="4"/>
        <v/>
      </c>
      <c r="BE32" s="53" t="str">
        <f>IF($AZ32=0,"",IF(AND($I32&gt;=6,$I32&lt;=19),VLOOKUP($I32,参照データ!$B$24:$C$37,2,0),IF($I32&lt;6,6,19)))</f>
        <v/>
      </c>
      <c r="BF32" s="155" t="str">
        <f>IF($J32="○",VLOOKUP($BE32,参照データ!$C$24:$I$37,2,0),"")</f>
        <v/>
      </c>
      <c r="BG32" s="146" t="str">
        <f>IF($K32="○",VLOOKUP($BE32,参照データ!$C$24:$I$37,3,0),"")</f>
        <v/>
      </c>
      <c r="BH32" s="146" t="str">
        <f>IF($L32="○",VLOOKUP($BE32,参照データ!$C$24:$I$37,4,0),"")</f>
        <v/>
      </c>
      <c r="BI32" s="146" t="str">
        <f>IF($M32="○",VLOOKUP($BE32,参照データ!$C$24:$I$37,5,0),"")</f>
        <v/>
      </c>
      <c r="BJ32" s="146" t="str">
        <f>IF($N32="20日",VLOOKUP($BE32,参照データ!$C$24:$I$37,6,0),"")</f>
        <v/>
      </c>
      <c r="BK32" s="156" t="str">
        <f>IF($O32="20日",VLOOKUP($BE32,参照データ!$C$24:$I$37,7,0),"")</f>
        <v/>
      </c>
      <c r="BL32" s="155" t="str">
        <f>IF($J32="21日",VLOOKUP($BE32,参照データ!$C$24:$I$37,2,0),"")</f>
        <v/>
      </c>
      <c r="BM32" s="146" t="str">
        <f>IF($K32="21日",VLOOKUP($BE32,参照データ!$C$24:$I$37,3,0),"")</f>
        <v/>
      </c>
      <c r="BN32" s="146" t="str">
        <f>IF($L32="21日",VLOOKUP($BE32,参照データ!$C$24:$I$37,4,0),"")</f>
        <v/>
      </c>
      <c r="BO32" s="146" t="str">
        <f>IF($M32="21日",VLOOKUP($BE32,参照データ!$C$24:$I$37,5,0),"")</f>
        <v/>
      </c>
      <c r="BP32" s="146" t="str">
        <f>IF($N32="21日",VLOOKUP($BE32,参照データ!$C$24:$I$37,6,0),"")</f>
        <v/>
      </c>
      <c r="BQ32" s="156" t="str">
        <f>IF($O32="21日",VLOOKUP($BE32,参照データ!$C$24:$I$37,7,0),"")</f>
        <v/>
      </c>
      <c r="BR32" s="223" t="str">
        <f t="shared" si="42"/>
        <v/>
      </c>
      <c r="BS32" s="154" t="str">
        <f>IF($R32="入門",VLOOKUP($BE32,参照データ!$C$43:$U$56,2,0),IF($R32="初級",VLOOKUP($BE32,参照データ!$C$43:$U$56,3,0),IF($R32="中級",VLOOKUP($BE32,参照データ!$C$43:$U$56,4,0),IF($R32="上級",VLOOKUP($BE32,参照データ!$C$43:$U$56,5,0),""))))</f>
        <v/>
      </c>
      <c r="BT32" s="154" t="str">
        <f>IF($S32="初級",VLOOKUP($BE32,参照データ!$C$43:$U$56,6,0),IF($S32="中級",VLOOKUP($BE32,参照データ!$C$43:$U$56,7,0),IF($S32="上級",VLOOKUP($BE32,参照データ!$C$43:$U$56,8,0),"")))</f>
        <v/>
      </c>
      <c r="BU32" s="154" t="str">
        <f>IF($T32="初級",VLOOKUP($BE32,参照データ!$C$43:$U$56,9,0),IF($T32="上級",VLOOKUP($BE32,参照データ!$C$43:$U$56,10,0),""))</f>
        <v/>
      </c>
      <c r="BV32" s="154" t="str">
        <f>IF($U32="初級",VLOOKUP($BE32,参照データ!$C$43:$U$56,11,0),IF($U32="中級",VLOOKUP($BE32,参照データ!$C$43:$U$56,12,0),IF($U32="上級",VLOOKUP($BE32,参照データ!$C$43:$U$56,13,0),"")))</f>
        <v/>
      </c>
      <c r="BW32" s="154" t="str">
        <f>IF($V32="初級",VLOOKUP($BE32,参照データ!$C$43:$U$56,14,0),IF($V32="中級",VLOOKUP($BE32,参照データ!$C$43:$U$56,15,0),IF($V32="上級",VLOOKUP($BE32,参照データ!$C$43:$U$56,16,0),"")))</f>
        <v/>
      </c>
      <c r="BX32" s="47" t="str">
        <f t="shared" si="5"/>
        <v/>
      </c>
      <c r="BY32" s="47" t="str">
        <f>IF($W32="初級",VLOOKUP($BE32,参照データ!$C$43:$U$56,17,0),IF($W32="中級",VLOOKUP($BE32,参照データ!$C$43:$U$56,18,0),IF($W32="上級",VLOOKUP($BE32,参照データ!$C$43:$U$56,19,0),"")))</f>
        <v/>
      </c>
      <c r="BZ32" s="686">
        <v>11</v>
      </c>
      <c r="CA32" s="66" t="s">
        <v>244</v>
      </c>
      <c r="CB32" s="136" t="str">
        <f t="shared" si="13"/>
        <v/>
      </c>
      <c r="CC32" s="688" t="str">
        <f t="shared" ref="CC32" si="68">IF(OR($CB32="",$CB33=""),"",IF($CB32&gt;$CB33,$CB32,$CB33))</f>
        <v/>
      </c>
      <c r="CE32" s="53" t="str">
        <f>IF(AND($AZ32&gt;=参照データ!$C$67,$AZ32&lt;=参照データ!$C$65),1,IF(AND($AZ32&gt;=参照データ!$C$70,$AZ32&lt;=参照データ!$C$68),2,IF(AND($AZ32&gt;=参照データ!$C$73,$AZ32&lt;=参照データ!$C$71),3,IF(AND($AZ32&gt;=参照データ!$C$76,$AZ32&lt;=参照データ!$C$74),4,IF(AND($AZ32&gt;=参照データ!$C$79,$AZ32&lt;=参照データ!$C$77),5,IF(AND($AZ32&gt;0,$AZ32&lt;=参照データ!$C$80),6,""))))))</f>
        <v/>
      </c>
      <c r="CF32" s="141" t="str">
        <f>IF($Z32="○",(VLOOKUP($CE32,参照データ!$D$65:$J$82,2,0)),"")</f>
        <v/>
      </c>
      <c r="CG32" s="71" t="str">
        <f t="shared" si="14"/>
        <v/>
      </c>
      <c r="CH32" s="70" t="str">
        <f>IF($AB32="○",(VLOOKUP($CE32,参照データ!$D$65:$J$82,3,0)),"")</f>
        <v/>
      </c>
      <c r="CI32" s="71" t="str">
        <f t="shared" si="15"/>
        <v/>
      </c>
      <c r="CJ32" s="70" t="str">
        <f>IF($AD32="○",(VLOOKUP($CE32,参照データ!$D$65:$J$82,4,0)),"")</f>
        <v/>
      </c>
      <c r="CK32" s="71" t="str">
        <f t="shared" si="16"/>
        <v/>
      </c>
      <c r="CL32" s="70" t="str">
        <f>IF($AF32="○",(VLOOKUP($CE32,参照データ!$D$65:$J$82,5,0)),"")</f>
        <v/>
      </c>
      <c r="CM32" s="71" t="str">
        <f t="shared" si="6"/>
        <v/>
      </c>
      <c r="CN32" s="70" t="str">
        <f>IF($AH32="○",(VLOOKUP($CE32,参照データ!$D$65:$J$82,6,0)),"")</f>
        <v/>
      </c>
      <c r="CO32" s="71" t="str">
        <f t="shared" si="17"/>
        <v/>
      </c>
      <c r="CP32" s="33" t="str">
        <f t="shared" si="18"/>
        <v/>
      </c>
      <c r="CQ32" s="32" t="str">
        <f t="shared" si="19"/>
        <v/>
      </c>
      <c r="CR32" s="71" t="str">
        <f t="shared" si="20"/>
        <v/>
      </c>
      <c r="CS32" s="681">
        <v>11</v>
      </c>
      <c r="CT32" s="79" t="s">
        <v>105</v>
      </c>
      <c r="CU32" s="80" t="str">
        <f t="shared" si="21"/>
        <v/>
      </c>
      <c r="CV32" s="683" t="e">
        <f>IF($CU32&gt;$CU33,VLOOKUP($CU32,参照データ!$D$65:$J$82,7,0),VLOOKUP($CU33,参照データ!$D$65:$J$82,7,0))</f>
        <v>#N/A</v>
      </c>
      <c r="CW32" s="308" t="str">
        <f>IFERROR(VLOOKUP($CV32,参照データ!$J$65:$M$82,4,0),"")</f>
        <v/>
      </c>
      <c r="CX32" s="70"/>
      <c r="CY32" s="172" t="str">
        <f t="shared" si="22"/>
        <v/>
      </c>
      <c r="DA32" s="32"/>
      <c r="DB32" s="161" t="str">
        <f t="shared" si="23"/>
        <v/>
      </c>
      <c r="DC32" s="743">
        <v>11</v>
      </c>
      <c r="DD32" s="166" t="s">
        <v>105</v>
      </c>
      <c r="DE32" s="167" t="str">
        <f t="shared" si="44"/>
        <v/>
      </c>
      <c r="DF32" s="741" t="str">
        <f>IF(OR(DE32="",DE33=""),"",IF(DE32&gt;DE33,DE32,DE33))</f>
        <v/>
      </c>
      <c r="DG32" t="str">
        <f>IF($DH32="","",DATEDIF($AZ32,参照データ!$D$19,"Y"))</f>
        <v/>
      </c>
      <c r="DH32" s="253" t="str">
        <f>IFERROR(IF($BA32="男子",VLOOKUP($DO32,参照データ!$D$88:$E$117,2,0),$DO32),0)</f>
        <v/>
      </c>
      <c r="DI32" s="84" t="str">
        <f>IF($Z32="選手権",(VLOOKUP($DH32,参照データ!$D$88:$K$117,3,0)),"")</f>
        <v/>
      </c>
      <c r="DJ32" s="85" t="str">
        <f t="shared" si="7"/>
        <v/>
      </c>
      <c r="DK32" s="84" t="str">
        <f>IF($AB32="選手権",(VLOOKUP($DH32,参照データ!$D$88:$K$117,4,0)),"")</f>
        <v/>
      </c>
      <c r="DL32" s="85" t="str">
        <f t="shared" si="8"/>
        <v/>
      </c>
      <c r="DM32" s="84" t="str">
        <f>IF($AD32="選手権",(VLOOKUP($DH32,参照データ!$D$88:$K$117,5,0)),"")</f>
        <v/>
      </c>
      <c r="DN32" s="85" t="str">
        <f t="shared" si="9"/>
        <v/>
      </c>
      <c r="DO32" s="53" t="str">
        <f>IF(AND($AZ32&gt;=参照データ!$C$90,$AZ32&lt;=参照データ!$C$88),1,IF(AND($AZ32&gt;=参照データ!$C$93,$AZ32&lt;=参照データ!$C$91),2,IF(AND($AZ32&gt;=参照データ!$C$99,$AZ32&lt;=参照データ!$C$97),3,IF(AND($AZ32&gt;=参照データ!$C$105,$AZ32&lt;=参照データ!$C$103),4,IF(AND($AZ32&gt;=参照データ!$C$111,$AZ32&lt;=参照データ!$C$109),5,IF(AND($AZ32&gt;0,$AZ32&lt;=参照データ!$C$112),6,""))))))</f>
        <v/>
      </c>
      <c r="DP32" s="84" t="str">
        <f>IF($AF32="選手権",(VLOOKUP($DO32,参照データ!$D$88:$K$117,6,0)),"")</f>
        <v/>
      </c>
      <c r="DQ32" s="85" t="str">
        <f t="shared" si="10"/>
        <v/>
      </c>
      <c r="DR32" s="84" t="str">
        <f>IF($AH32="選手権",(VLOOKUP($DO32,参照データ!$D$88:$K$117,7,0)),"")</f>
        <v/>
      </c>
      <c r="DS32" s="85" t="str">
        <f t="shared" si="24"/>
        <v/>
      </c>
      <c r="DT32" s="33" t="str">
        <f t="shared" si="25"/>
        <v/>
      </c>
      <c r="DU32" s="32" t="str">
        <f t="shared" si="26"/>
        <v/>
      </c>
      <c r="DV32" s="85" t="str">
        <f t="shared" si="27"/>
        <v/>
      </c>
      <c r="DW32" s="736">
        <v>11</v>
      </c>
      <c r="DX32" s="93" t="s">
        <v>105</v>
      </c>
      <c r="DY32" s="94" t="str">
        <f t="shared" si="37"/>
        <v/>
      </c>
      <c r="DZ32" s="737" t="e">
        <f>IF($DY32&gt;$DY33,VLOOKUP($DY32,参照データ!$D$88:$K$117,8,0),VLOOKUP($DY33,参照データ!$D$88:$K$117,8,0))</f>
        <v>#N/A</v>
      </c>
      <c r="EA32" s="312" t="str">
        <f>IFERROR(VLOOKUP($DZ32,参照データ!$K$88:$O$117,5,0),"")</f>
        <v/>
      </c>
      <c r="EC32" s="491" t="str">
        <f t="shared" si="28"/>
        <v/>
      </c>
      <c r="EH32" s="35">
        <f>(COUNTIF($J32:$O32,"&lt;&gt;"))*参照データ!$E$3</f>
        <v>0</v>
      </c>
      <c r="EI32" s="219" t="str">
        <f>IF(P32="○",参照データ!$E$5,"")</f>
        <v/>
      </c>
      <c r="EJ32" s="219" t="str">
        <f>IF($Y32="○",参照データ!$E$4,"")</f>
        <v/>
      </c>
      <c r="EK32" s="18">
        <f>(SUM(COUNTIF($R32:$V32,{"入門","初級"}))*参照データ!$E$9)+(SUM(COUNTIF($R32:$V32,{"中級","上級"})*参照データ!$E$10))</f>
        <v>0</v>
      </c>
      <c r="EL32" s="18">
        <f>IFERROR(VLOOKUP($W32,参照データ!$D$9:$J$11,7,0),0)</f>
        <v>0</v>
      </c>
      <c r="EM32" s="18">
        <f>((COUNTIF($Z32:$AH32,"○"))*参照データ!$E$12)</f>
        <v>0</v>
      </c>
      <c r="EN32" s="18" t="str">
        <f>(IF($AJ32="○",参照データ!$J$12,""))</f>
        <v/>
      </c>
      <c r="EQ32" s="18">
        <f>((COUNTIF($Z32:$AH32,"選手権"))*参照データ!$E$13)</f>
        <v>0</v>
      </c>
      <c r="ER32" s="18" t="str">
        <f>(IF($AJ32="選手権",参照データ!$J$13,""))</f>
        <v/>
      </c>
      <c r="ES32" s="18">
        <f>(COUNTIF($AQ32:$AR32,"&lt;&gt;"))*参照データ!$H$3</f>
        <v>0</v>
      </c>
      <c r="ET32" s="18"/>
      <c r="EU32" s="18" t="str">
        <f>IF(AV32&lt;&gt;"",参照データ!$H$15,"")</f>
        <v/>
      </c>
      <c r="EV32" s="98" cm="1">
        <f t="array" ref="EV32">SUM(IF(ISERROR(EH32:EU32),0,(EH32:EU32)))</f>
        <v>0</v>
      </c>
      <c r="EW32" s="18"/>
      <c r="EX32" s="18">
        <f t="shared" si="11"/>
        <v>0</v>
      </c>
      <c r="EY32" s="18">
        <f t="shared" si="29"/>
        <v>0</v>
      </c>
      <c r="EZ32" s="18">
        <f t="shared" si="38"/>
        <v>0</v>
      </c>
      <c r="FA32" s="18">
        <f t="shared" si="30"/>
        <v>0</v>
      </c>
      <c r="FB32" s="18">
        <f t="shared" si="31"/>
        <v>0</v>
      </c>
      <c r="FC32" s="18">
        <f t="shared" si="32"/>
        <v>0</v>
      </c>
      <c r="FD32" s="18">
        <f t="shared" si="12"/>
        <v>0</v>
      </c>
      <c r="FE32" t="str">
        <f t="shared" si="33"/>
        <v/>
      </c>
    </row>
    <row r="33" spans="1:161" ht="18.75" customHeight="1" x14ac:dyDescent="0.2">
      <c r="A33">
        <v>22</v>
      </c>
      <c r="B33" s="14" t="str">
        <f>IF(D33="","",IF(D33="重複","",COUNTIF(B$12:$B32,"&gt;0")+1))</f>
        <v/>
      </c>
      <c r="C33" s="464"/>
      <c r="D33" s="177"/>
      <c r="E33" s="177"/>
      <c r="F33" s="31"/>
      <c r="G33" s="41"/>
      <c r="H33" s="351">
        <f t="shared" si="34"/>
        <v>0</v>
      </c>
      <c r="I33" s="193" t="str">
        <f>IF($AZ33=0,"",DATEDIF($AZ33,参照データ!$D$16,"Y"))</f>
        <v/>
      </c>
      <c r="J33" s="36"/>
      <c r="K33" s="36"/>
      <c r="L33" s="36"/>
      <c r="M33" s="36"/>
      <c r="N33" s="36"/>
      <c r="O33" s="42"/>
      <c r="P33" s="345"/>
      <c r="Q33" s="345"/>
      <c r="R33" s="43"/>
      <c r="S33" s="244"/>
      <c r="T33" s="244"/>
      <c r="U33" s="244"/>
      <c r="V33" s="245"/>
      <c r="W33" s="248"/>
      <c r="X33" s="250"/>
      <c r="Y33" s="345"/>
      <c r="Z33" s="388"/>
      <c r="AA33" s="346" t="str">
        <f>IF($Z33="○",VLOOKUP($CE33,参照データ!$D$65:$M$82,9,0),IF($Z33="選手権",VLOOKUP($DH33,参照データ!$D$88:$O$117,10,0),""))</f>
        <v/>
      </c>
      <c r="AB33" s="388"/>
      <c r="AC33" s="346" t="str">
        <f>IF($AB33="○",VLOOKUP($CE33,参照データ!$D$65:$M$82,10,0),IF($AB33="選手権",VLOOKUP($DH33,参照データ!$D$88:$O$117,11,0),""))</f>
        <v/>
      </c>
      <c r="AD33" s="388"/>
      <c r="AE33" s="346" t="str">
        <f>IF($AD33="○",VLOOKUP($CE33,参照データ!$D$65:$M$82,10,0),IF($AD33="選手権",VLOOKUP($DH33,参照データ!$D$88:$O$117,11,0),""))</f>
        <v/>
      </c>
      <c r="AF33" s="388"/>
      <c r="AG33" s="346" t="str">
        <f>IF($AF33="○",VLOOKUP($CE33,参照データ!$D$65:$M$82,10,0),IF($AF33="選手権",VLOOKUP($DO33,参照データ!$D$88:$O$117,12,0),""))</f>
        <v/>
      </c>
      <c r="AH33" s="388"/>
      <c r="AI33" s="346" t="str">
        <f>IF($AH33="○",VLOOKUP($CE33,参照データ!$D$65:$M$82,10,0),IF($AH33="選手権",VLOOKUP($DO33,参照データ!$D$88:$O$117,12,0),""))</f>
        <v/>
      </c>
      <c r="AJ33" s="388"/>
      <c r="AK33" s="511"/>
      <c r="AL33" s="346" t="str">
        <f t="shared" si="3"/>
        <v/>
      </c>
      <c r="AM33" s="392"/>
      <c r="AN33" s="391"/>
      <c r="AO33" s="391"/>
      <c r="AP33" s="447"/>
      <c r="AQ33" s="321"/>
      <c r="AR33" s="481"/>
      <c r="AS33" s="393"/>
      <c r="AT33" s="483"/>
      <c r="AU33" s="393"/>
      <c r="AV33" s="529"/>
      <c r="AW33" s="483"/>
      <c r="AZ33">
        <f t="shared" si="50"/>
        <v>0</v>
      </c>
      <c r="BA33" t="str">
        <f t="shared" si="35"/>
        <v/>
      </c>
      <c r="BB33" s="132"/>
      <c r="BD33" s="513" t="str">
        <f t="shared" si="4"/>
        <v/>
      </c>
      <c r="BE33" s="53" t="str">
        <f>IF($AZ33=0,"",IF(AND($I33&gt;=6,$I33&lt;=19),VLOOKUP($I33,参照データ!$B$24:$C$37,2,0),IF($I33&lt;6,6,19)))</f>
        <v/>
      </c>
      <c r="BF33" s="155" t="str">
        <f>IF($J33="○",VLOOKUP($BE33,参照データ!$C$24:$I$37,2,0),"")</f>
        <v/>
      </c>
      <c r="BG33" s="146" t="str">
        <f>IF($K33="○",VLOOKUP($BE33,参照データ!$C$24:$I$37,3,0),"")</f>
        <v/>
      </c>
      <c r="BH33" s="146" t="str">
        <f>IF($L33="○",VLOOKUP($BE33,参照データ!$C$24:$I$37,4,0),"")</f>
        <v/>
      </c>
      <c r="BI33" s="146" t="str">
        <f>IF($M33="○",VLOOKUP($BE33,参照データ!$C$24:$I$37,5,0),"")</f>
        <v/>
      </c>
      <c r="BJ33" s="146" t="str">
        <f>IF($N33="20日",VLOOKUP($BE33,参照データ!$C$24:$I$37,6,0),"")</f>
        <v/>
      </c>
      <c r="BK33" s="156" t="str">
        <f>IF($O33="20日",VLOOKUP($BE33,参照データ!$C$24:$I$37,7,0),"")</f>
        <v/>
      </c>
      <c r="BL33" s="155" t="str">
        <f>IF($J33="21日",VLOOKUP($BE33,参照データ!$C$24:$I$37,2,0),"")</f>
        <v/>
      </c>
      <c r="BM33" s="146" t="str">
        <f>IF($K33="21日",VLOOKUP($BE33,参照データ!$C$24:$I$37,3,0),"")</f>
        <v/>
      </c>
      <c r="BN33" s="146" t="str">
        <f>IF($L33="21日",VLOOKUP($BE33,参照データ!$C$24:$I$37,4,0),"")</f>
        <v/>
      </c>
      <c r="BO33" s="146" t="str">
        <f>IF($M33="21日",VLOOKUP($BE33,参照データ!$C$24:$I$37,5,0),"")</f>
        <v/>
      </c>
      <c r="BP33" s="146" t="str">
        <f>IF($N33="21日",VLOOKUP($BE33,参照データ!$C$24:$I$37,6,0),"")</f>
        <v/>
      </c>
      <c r="BQ33" s="156" t="str">
        <f>IF($O33="21日",VLOOKUP($BE33,参照データ!$C$24:$I$37,7,0),"")</f>
        <v/>
      </c>
      <c r="BR33" s="223" t="str">
        <f t="shared" si="42"/>
        <v/>
      </c>
      <c r="BS33" s="154" t="str">
        <f>IF($R33="入門",VLOOKUP($BE33,参照データ!$C$43:$U$56,2,0),IF($R33="初級",VLOOKUP($BE33,参照データ!$C$43:$U$56,3,0),IF($R33="中級",VLOOKUP($BE33,参照データ!$C$43:$U$56,4,0),IF($R33="上級",VLOOKUP($BE33,参照データ!$C$43:$U$56,5,0),""))))</f>
        <v/>
      </c>
      <c r="BT33" s="154" t="str">
        <f>IF($S33="初級",VLOOKUP($BE33,参照データ!$C$43:$U$56,6,0),IF($S33="中級",VLOOKUP($BE33,参照データ!$C$43:$U$56,7,0),IF($S33="上級",VLOOKUP($BE33,参照データ!$C$43:$U$56,8,0),"")))</f>
        <v/>
      </c>
      <c r="BU33" s="154" t="str">
        <f>IF($T33="初級",VLOOKUP($BE33,参照データ!$C$43:$U$56,9,0),IF($T33="上級",VLOOKUP($BE33,参照データ!$C$43:$U$56,10,0),""))</f>
        <v/>
      </c>
      <c r="BV33" s="154" t="str">
        <f>IF($U33="初級",VLOOKUP($BE33,参照データ!$C$43:$U$56,11,0),IF($U33="中級",VLOOKUP($BE33,参照データ!$C$43:$U$56,12,0),IF($U33="上級",VLOOKUP($BE33,参照データ!$C$43:$U$56,13,0),"")))</f>
        <v/>
      </c>
      <c r="BW33" s="154" t="str">
        <f>IF($V33="初級",VLOOKUP($BE33,参照データ!$C$43:$U$56,14,0),IF($V33="中級",VLOOKUP($BE33,参照データ!$C$43:$U$56,15,0),IF($V33="上級",VLOOKUP($BE33,参照データ!$C$43:$U$56,16,0),"")))</f>
        <v/>
      </c>
      <c r="BX33" s="47" t="str">
        <f t="shared" si="5"/>
        <v/>
      </c>
      <c r="BY33" s="47" t="str">
        <f>IF($W33="初級",VLOOKUP($BE33,参照データ!$C$43:$U$56,17,0),IF($W33="中級",VLOOKUP($BE33,参照データ!$C$43:$U$56,18,0),IF($W33="上級",VLOOKUP($BE33,参照データ!$C$43:$U$56,19,0),"")))</f>
        <v/>
      </c>
      <c r="BZ33" s="687"/>
      <c r="CA33" s="65" t="s">
        <v>245</v>
      </c>
      <c r="CB33" s="135" t="str">
        <f t="shared" si="13"/>
        <v/>
      </c>
      <c r="CC33" s="689"/>
      <c r="CE33" s="53" t="str">
        <f>IF(AND($AZ33&gt;=参照データ!$C$67,$AZ33&lt;=参照データ!$C$65),1,IF(AND($AZ33&gt;=参照データ!$C$70,$AZ33&lt;=参照データ!$C$68),2,IF(AND($AZ33&gt;=参照データ!$C$73,$AZ33&lt;=参照データ!$C$71),3,IF(AND($AZ33&gt;=参照データ!$C$76,$AZ33&lt;=参照データ!$C$74),4,IF(AND($AZ33&gt;=参照データ!$C$79,$AZ33&lt;=参照データ!$C$77),5,IF(AND($AZ33&gt;0,$AZ33&lt;=参照データ!$C$80),6,""))))))</f>
        <v/>
      </c>
      <c r="CF33" s="141" t="str">
        <f>IF($Z33="○",(VLOOKUP($CE33,参照データ!$D$65:$J$82,2,0)),"")</f>
        <v/>
      </c>
      <c r="CG33" s="71" t="str">
        <f t="shared" si="14"/>
        <v/>
      </c>
      <c r="CH33" s="70" t="str">
        <f>IF($AB33="○",(VLOOKUP($CE33,参照データ!$D$65:$J$82,3,0)),"")</f>
        <v/>
      </c>
      <c r="CI33" s="71" t="str">
        <f t="shared" si="15"/>
        <v/>
      </c>
      <c r="CJ33" s="70" t="str">
        <f>IF($AD33="○",(VLOOKUP($CE33,参照データ!$D$65:$J$82,4,0)),"")</f>
        <v/>
      </c>
      <c r="CK33" s="71" t="str">
        <f t="shared" si="16"/>
        <v/>
      </c>
      <c r="CL33" s="70" t="str">
        <f>IF($AF33="○",(VLOOKUP($CE33,参照データ!$D$65:$J$82,5,0)),"")</f>
        <v/>
      </c>
      <c r="CM33" s="71" t="str">
        <f t="shared" si="6"/>
        <v/>
      </c>
      <c r="CN33" s="70" t="str">
        <f>IF($AH33="○",(VLOOKUP($CE33,参照データ!$D$65:$J$82,6,0)),"")</f>
        <v/>
      </c>
      <c r="CO33" s="71" t="str">
        <f t="shared" si="17"/>
        <v/>
      </c>
      <c r="CP33" s="33" t="str">
        <f t="shared" si="18"/>
        <v/>
      </c>
      <c r="CQ33" s="32" t="str">
        <f t="shared" si="19"/>
        <v/>
      </c>
      <c r="CR33" s="71" t="str">
        <f t="shared" si="20"/>
        <v/>
      </c>
      <c r="CS33" s="682"/>
      <c r="CT33" s="77" t="s">
        <v>106</v>
      </c>
      <c r="CU33" s="78" t="str">
        <f t="shared" si="21"/>
        <v/>
      </c>
      <c r="CV33" s="684"/>
      <c r="CW33" s="308" t="str">
        <f t="shared" ref="CW33" si="69">$CW32</f>
        <v/>
      </c>
      <c r="CX33" s="70"/>
      <c r="CY33" s="172" t="str">
        <f t="shared" si="22"/>
        <v/>
      </c>
      <c r="DA33" s="32"/>
      <c r="DB33" s="161" t="str">
        <f t="shared" si="23"/>
        <v/>
      </c>
      <c r="DC33" s="744"/>
      <c r="DD33" s="164" t="s">
        <v>106</v>
      </c>
      <c r="DE33" s="165" t="str">
        <f t="shared" si="44"/>
        <v/>
      </c>
      <c r="DF33" s="742"/>
      <c r="DG33" t="str">
        <f>IF($DH33="","",DATEDIF($AZ33,参照データ!$D$19,"Y"))</f>
        <v/>
      </c>
      <c r="DH33" s="253" t="str">
        <f>IFERROR(IF($BA33="男子",VLOOKUP($DO33,参照データ!$D$88:$E$117,2,0),$DO33),0)</f>
        <v/>
      </c>
      <c r="DI33" s="84" t="str">
        <f>IF($Z33="選手権",(VLOOKUP($DH33,参照データ!$D$88:$K$117,3,0)),"")</f>
        <v/>
      </c>
      <c r="DJ33" s="85" t="str">
        <f t="shared" si="7"/>
        <v/>
      </c>
      <c r="DK33" s="84" t="str">
        <f>IF($AB33="選手権",(VLOOKUP($DH33,参照データ!$D$88:$K$117,4,0)),"")</f>
        <v/>
      </c>
      <c r="DL33" s="85" t="str">
        <f t="shared" si="8"/>
        <v/>
      </c>
      <c r="DM33" s="84" t="str">
        <f>IF($AD33="選手権",(VLOOKUP($DH33,参照データ!$D$88:$K$117,5,0)),"")</f>
        <v/>
      </c>
      <c r="DN33" s="85" t="str">
        <f t="shared" si="9"/>
        <v/>
      </c>
      <c r="DO33" s="53" t="str">
        <f>IF(AND($AZ33&gt;=参照データ!$C$90,$AZ33&lt;=参照データ!$C$88),1,IF(AND($AZ33&gt;=参照データ!$C$93,$AZ33&lt;=参照データ!$C$91),2,IF(AND($AZ33&gt;=参照データ!$C$99,$AZ33&lt;=参照データ!$C$97),3,IF(AND($AZ33&gt;=参照データ!$C$105,$AZ33&lt;=参照データ!$C$103),4,IF(AND($AZ33&gt;=参照データ!$C$111,$AZ33&lt;=参照データ!$C$109),5,IF(AND($AZ33&gt;0,$AZ33&lt;=参照データ!$C$112),6,""))))))</f>
        <v/>
      </c>
      <c r="DP33" s="84" t="str">
        <f>IF($AF33="選手権",(VLOOKUP($DO33,参照データ!$D$88:$K$117,6,0)),"")</f>
        <v/>
      </c>
      <c r="DQ33" s="85" t="str">
        <f t="shared" si="10"/>
        <v/>
      </c>
      <c r="DR33" s="84" t="str">
        <f>IF($AH33="選手権",(VLOOKUP($DO33,参照データ!$D$88:$K$117,7,0)),"")</f>
        <v/>
      </c>
      <c r="DS33" s="85" t="str">
        <f t="shared" si="24"/>
        <v/>
      </c>
      <c r="DT33" s="33" t="str">
        <f t="shared" si="25"/>
        <v/>
      </c>
      <c r="DU33" s="32" t="str">
        <f t="shared" si="26"/>
        <v/>
      </c>
      <c r="DV33" s="85" t="str">
        <f t="shared" si="27"/>
        <v/>
      </c>
      <c r="DW33" s="733"/>
      <c r="DX33" s="91" t="s">
        <v>106</v>
      </c>
      <c r="DY33" s="92" t="str">
        <f t="shared" si="37"/>
        <v/>
      </c>
      <c r="DZ33" s="735"/>
      <c r="EA33" s="312" t="str">
        <f t="shared" si="65"/>
        <v/>
      </c>
      <c r="EC33" s="491" t="str">
        <f t="shared" si="28"/>
        <v/>
      </c>
      <c r="EH33" s="35">
        <f>(COUNTIF($J33:$O33,"&lt;&gt;"))*参照データ!$E$3</f>
        <v>0</v>
      </c>
      <c r="EI33" s="219" t="str">
        <f>IF(P33="○",参照データ!$E$5,"")</f>
        <v/>
      </c>
      <c r="EJ33" s="219" t="str">
        <f>IF($Y33="○",参照データ!$E$4,"")</f>
        <v/>
      </c>
      <c r="EK33" s="18">
        <f>(SUM(COUNTIF($R33:$V33,{"入門","初級"}))*参照データ!$E$9)+(SUM(COUNTIF($R33:$V33,{"中級","上級"})*参照データ!$E$10))</f>
        <v>0</v>
      </c>
      <c r="EL33" s="18">
        <f>IFERROR(VLOOKUP($W33,参照データ!$D$9:$J$11,7,0),0)</f>
        <v>0</v>
      </c>
      <c r="EM33" s="18">
        <f>((COUNTIF($Z33:$AH33,"○"))*参照データ!$E$12)</f>
        <v>0</v>
      </c>
      <c r="EN33" s="18" t="str">
        <f>(IF($AJ33="○",参照データ!$J$12,""))</f>
        <v/>
      </c>
      <c r="EQ33" s="18">
        <f>((COUNTIF($Z33:$AH33,"選手権"))*参照データ!$E$13)</f>
        <v>0</v>
      </c>
      <c r="ER33" s="18" t="str">
        <f>(IF($AJ33="選手権",参照データ!$J$13,""))</f>
        <v/>
      </c>
      <c r="ES33" s="18">
        <f>(COUNTIF($AQ33:$AR33,"&lt;&gt;"))*参照データ!$H$3</f>
        <v>0</v>
      </c>
      <c r="ET33" s="18"/>
      <c r="EU33" s="18" t="str">
        <f>IF(AV33&lt;&gt;"",参照データ!$H$15,"")</f>
        <v/>
      </c>
      <c r="EV33" s="98" cm="1">
        <f t="array" ref="EV33">SUM(IF(ISERROR(EH33:EU33),0,(EH33:EU33)))</f>
        <v>0</v>
      </c>
      <c r="EW33" s="18"/>
      <c r="EX33" s="18">
        <f t="shared" si="11"/>
        <v>0</v>
      </c>
      <c r="EY33" s="18">
        <f t="shared" si="29"/>
        <v>0</v>
      </c>
      <c r="EZ33" s="18">
        <f t="shared" si="38"/>
        <v>0</v>
      </c>
      <c r="FA33" s="18">
        <f t="shared" si="30"/>
        <v>0</v>
      </c>
      <c r="FB33" s="18">
        <f t="shared" si="31"/>
        <v>0</v>
      </c>
      <c r="FC33" s="18">
        <f t="shared" si="32"/>
        <v>0</v>
      </c>
      <c r="FD33" s="18">
        <f t="shared" si="12"/>
        <v>0</v>
      </c>
      <c r="FE33" t="str">
        <f t="shared" si="33"/>
        <v/>
      </c>
    </row>
    <row r="34" spans="1:161" ht="18.75" customHeight="1" x14ac:dyDescent="0.2">
      <c r="A34">
        <v>23</v>
      </c>
      <c r="B34" s="14" t="str">
        <f>IF(D34="","",IF(D34="重複","",COUNTIF(B$12:$B33,"&gt;0")+1))</f>
        <v/>
      </c>
      <c r="C34" s="464"/>
      <c r="D34" s="177"/>
      <c r="E34" s="177"/>
      <c r="F34" s="31"/>
      <c r="G34" s="41"/>
      <c r="H34" s="351">
        <f t="shared" si="34"/>
        <v>0</v>
      </c>
      <c r="I34" s="193" t="str">
        <f>IF($AZ34=0,"",DATEDIF($AZ34,参照データ!$D$16,"Y"))</f>
        <v/>
      </c>
      <c r="J34" s="36"/>
      <c r="K34" s="36"/>
      <c r="L34" s="36"/>
      <c r="M34" s="36"/>
      <c r="N34" s="36"/>
      <c r="O34" s="42"/>
      <c r="P34" s="345"/>
      <c r="Q34" s="345"/>
      <c r="R34" s="43"/>
      <c r="S34" s="244"/>
      <c r="T34" s="244"/>
      <c r="U34" s="244"/>
      <c r="V34" s="245"/>
      <c r="W34" s="248"/>
      <c r="X34" s="250"/>
      <c r="Y34" s="345"/>
      <c r="Z34" s="388"/>
      <c r="AA34" s="346" t="str">
        <f>IF($Z34="○",VLOOKUP($CE34,参照データ!$D$65:$M$82,9,0),IF($Z34="選手権",VLOOKUP($DH34,参照データ!$D$88:$O$117,10,0),""))</f>
        <v/>
      </c>
      <c r="AB34" s="388"/>
      <c r="AC34" s="346" t="str">
        <f>IF($AB34="○",VLOOKUP($CE34,参照データ!$D$65:$M$82,10,0),IF($AB34="選手権",VLOOKUP($DH34,参照データ!$D$88:$O$117,11,0),""))</f>
        <v/>
      </c>
      <c r="AD34" s="388"/>
      <c r="AE34" s="346" t="str">
        <f>IF($AD34="○",VLOOKUP($CE34,参照データ!$D$65:$M$82,10,0),IF($AD34="選手権",VLOOKUP($DH34,参照データ!$D$88:$O$117,11,0),""))</f>
        <v/>
      </c>
      <c r="AF34" s="388"/>
      <c r="AG34" s="346" t="str">
        <f>IF($AF34="○",VLOOKUP($CE34,参照データ!$D$65:$M$82,10,0),IF($AF34="選手権",VLOOKUP($DO34,参照データ!$D$88:$O$117,12,0),""))</f>
        <v/>
      </c>
      <c r="AH34" s="388"/>
      <c r="AI34" s="346" t="str">
        <f>IF($AH34="○",VLOOKUP($CE34,参照データ!$D$65:$M$82,10,0),IF($AH34="選手権",VLOOKUP($DO34,参照データ!$D$88:$O$117,12,0),""))</f>
        <v/>
      </c>
      <c r="AJ34" s="388"/>
      <c r="AK34" s="511"/>
      <c r="AL34" s="346" t="str">
        <f t="shared" si="3"/>
        <v/>
      </c>
      <c r="AM34" s="392"/>
      <c r="AN34" s="391"/>
      <c r="AO34" s="391"/>
      <c r="AP34" s="447"/>
      <c r="AQ34" s="321"/>
      <c r="AR34" s="481"/>
      <c r="AS34" s="393"/>
      <c r="AT34" s="483"/>
      <c r="AU34" s="393"/>
      <c r="AV34" s="529"/>
      <c r="AW34" s="483"/>
      <c r="AZ34">
        <f t="shared" si="50"/>
        <v>0</v>
      </c>
      <c r="BA34" t="str">
        <f t="shared" si="35"/>
        <v/>
      </c>
      <c r="BB34" s="132"/>
      <c r="BD34" s="513" t="str">
        <f t="shared" si="4"/>
        <v/>
      </c>
      <c r="BE34" s="53" t="str">
        <f>IF($AZ34=0,"",IF(AND($I34&gt;=6,$I34&lt;=19),VLOOKUP($I34,参照データ!$B$24:$C$37,2,0),IF($I34&lt;6,6,19)))</f>
        <v/>
      </c>
      <c r="BF34" s="155" t="str">
        <f>IF($J34="○",VLOOKUP($BE34,参照データ!$C$24:$I$37,2,0),"")</f>
        <v/>
      </c>
      <c r="BG34" s="146" t="str">
        <f>IF($K34="○",VLOOKUP($BE34,参照データ!$C$24:$I$37,3,0),"")</f>
        <v/>
      </c>
      <c r="BH34" s="146" t="str">
        <f>IF($L34="○",VLOOKUP($BE34,参照データ!$C$24:$I$37,4,0),"")</f>
        <v/>
      </c>
      <c r="BI34" s="146" t="str">
        <f>IF($M34="○",VLOOKUP($BE34,参照データ!$C$24:$I$37,5,0),"")</f>
        <v/>
      </c>
      <c r="BJ34" s="146" t="str">
        <f>IF($N34="20日",VLOOKUP($BE34,参照データ!$C$24:$I$37,6,0),"")</f>
        <v/>
      </c>
      <c r="BK34" s="156" t="str">
        <f>IF($O34="20日",VLOOKUP($BE34,参照データ!$C$24:$I$37,7,0),"")</f>
        <v/>
      </c>
      <c r="BL34" s="155" t="str">
        <f>IF($J34="21日",VLOOKUP($BE34,参照データ!$C$24:$I$37,2,0),"")</f>
        <v/>
      </c>
      <c r="BM34" s="146" t="str">
        <f>IF($K34="21日",VLOOKUP($BE34,参照データ!$C$24:$I$37,3,0),"")</f>
        <v/>
      </c>
      <c r="BN34" s="146" t="str">
        <f>IF($L34="21日",VLOOKUP($BE34,参照データ!$C$24:$I$37,4,0),"")</f>
        <v/>
      </c>
      <c r="BO34" s="146" t="str">
        <f>IF($M34="21日",VLOOKUP($BE34,参照データ!$C$24:$I$37,5,0),"")</f>
        <v/>
      </c>
      <c r="BP34" s="146" t="str">
        <f>IF($N34="21日",VLOOKUP($BE34,参照データ!$C$24:$I$37,6,0),"")</f>
        <v/>
      </c>
      <c r="BQ34" s="156" t="str">
        <f>IF($O34="21日",VLOOKUP($BE34,参照データ!$C$24:$I$37,7,0),"")</f>
        <v/>
      </c>
      <c r="BR34" s="223" t="str">
        <f t="shared" si="42"/>
        <v/>
      </c>
      <c r="BS34" s="154" t="str">
        <f>IF($R34="入門",VLOOKUP($BE34,参照データ!$C$43:$U$56,2,0),IF($R34="初級",VLOOKUP($BE34,参照データ!$C$43:$U$56,3,0),IF($R34="中級",VLOOKUP($BE34,参照データ!$C$43:$U$56,4,0),IF($R34="上級",VLOOKUP($BE34,参照データ!$C$43:$U$56,5,0),""))))</f>
        <v/>
      </c>
      <c r="BT34" s="154" t="str">
        <f>IF($S34="初級",VLOOKUP($BE34,参照データ!$C$43:$U$56,6,0),IF($S34="中級",VLOOKUP($BE34,参照データ!$C$43:$U$56,7,0),IF($S34="上級",VLOOKUP($BE34,参照データ!$C$43:$U$56,8,0),"")))</f>
        <v/>
      </c>
      <c r="BU34" s="154" t="str">
        <f>IF($T34="初級",VLOOKUP($BE34,参照データ!$C$43:$U$56,9,0),IF($T34="上級",VLOOKUP($BE34,参照データ!$C$43:$U$56,10,0),""))</f>
        <v/>
      </c>
      <c r="BV34" s="154" t="str">
        <f>IF($U34="初級",VLOOKUP($BE34,参照データ!$C$43:$U$56,11,0),IF($U34="中級",VLOOKUP($BE34,参照データ!$C$43:$U$56,12,0),IF($U34="上級",VLOOKUP($BE34,参照データ!$C$43:$U$56,13,0),"")))</f>
        <v/>
      </c>
      <c r="BW34" s="154" t="str">
        <f>IF($V34="初級",VLOOKUP($BE34,参照データ!$C$43:$U$56,14,0),IF($V34="中級",VLOOKUP($BE34,参照データ!$C$43:$U$56,15,0),IF($V34="上級",VLOOKUP($BE34,参照データ!$C$43:$U$56,16,0),"")))</f>
        <v/>
      </c>
      <c r="BX34" s="47" t="str">
        <f t="shared" si="5"/>
        <v/>
      </c>
      <c r="BY34" s="47" t="str">
        <f>IF($W34="初級",VLOOKUP($BE34,参照データ!$C$43:$U$56,17,0),IF($W34="中級",VLOOKUP($BE34,参照データ!$C$43:$U$56,18,0),IF($W34="上級",VLOOKUP($BE34,参照データ!$C$43:$U$56,19,0),"")))</f>
        <v/>
      </c>
      <c r="BZ34" s="686">
        <v>12</v>
      </c>
      <c r="CA34" s="66" t="s">
        <v>246</v>
      </c>
      <c r="CB34" s="136" t="str">
        <f t="shared" si="13"/>
        <v/>
      </c>
      <c r="CC34" s="688" t="str">
        <f t="shared" ref="CC34" si="70">IF(OR($CB34="",$CB35=""),"",IF($CB34&gt;$CB35,$CB34,$CB35))</f>
        <v/>
      </c>
      <c r="CE34" s="53" t="str">
        <f>IF(AND($AZ34&gt;=参照データ!$C$67,$AZ34&lt;=参照データ!$C$65),1,IF(AND($AZ34&gt;=参照データ!$C$70,$AZ34&lt;=参照データ!$C$68),2,IF(AND($AZ34&gt;=参照データ!$C$73,$AZ34&lt;=参照データ!$C$71),3,IF(AND($AZ34&gt;=参照データ!$C$76,$AZ34&lt;=参照データ!$C$74),4,IF(AND($AZ34&gt;=参照データ!$C$79,$AZ34&lt;=参照データ!$C$77),5,IF(AND($AZ34&gt;0,$AZ34&lt;=参照データ!$C$80),6,""))))))</f>
        <v/>
      </c>
      <c r="CF34" s="141" t="str">
        <f>IF($Z34="○",(VLOOKUP($CE34,参照データ!$D$65:$J$82,2,0)),"")</f>
        <v/>
      </c>
      <c r="CG34" s="71" t="str">
        <f t="shared" si="14"/>
        <v/>
      </c>
      <c r="CH34" s="70" t="str">
        <f>IF($AB34="○",(VLOOKUP($CE34,参照データ!$D$65:$J$82,3,0)),"")</f>
        <v/>
      </c>
      <c r="CI34" s="71" t="str">
        <f t="shared" si="15"/>
        <v/>
      </c>
      <c r="CJ34" s="70" t="str">
        <f>IF($AD34="○",(VLOOKUP($CE34,参照データ!$D$65:$J$82,4,0)),"")</f>
        <v/>
      </c>
      <c r="CK34" s="71" t="str">
        <f t="shared" si="16"/>
        <v/>
      </c>
      <c r="CL34" s="70" t="str">
        <f>IF($AF34="○",(VLOOKUP($CE34,参照データ!$D$65:$J$82,5,0)),"")</f>
        <v/>
      </c>
      <c r="CM34" s="71" t="str">
        <f t="shared" si="6"/>
        <v/>
      </c>
      <c r="CN34" s="70" t="str">
        <f>IF($AH34="○",(VLOOKUP($CE34,参照データ!$D$65:$J$82,6,0)),"")</f>
        <v/>
      </c>
      <c r="CO34" s="71" t="str">
        <f t="shared" si="17"/>
        <v/>
      </c>
      <c r="CP34" s="33" t="str">
        <f t="shared" si="18"/>
        <v/>
      </c>
      <c r="CQ34" s="32" t="str">
        <f t="shared" si="19"/>
        <v/>
      </c>
      <c r="CR34" s="71" t="str">
        <f t="shared" si="20"/>
        <v/>
      </c>
      <c r="CS34" s="681">
        <v>12</v>
      </c>
      <c r="CT34" s="79" t="s">
        <v>107</v>
      </c>
      <c r="CU34" s="80" t="str">
        <f t="shared" si="21"/>
        <v/>
      </c>
      <c r="CV34" s="683" t="e">
        <f>IF($CU34&gt;$CU35,VLOOKUP($CU34,参照データ!$D$65:$J$82,7,0),VLOOKUP($CU35,参照データ!$D$65:$J$82,7,0))</f>
        <v>#N/A</v>
      </c>
      <c r="CW34" s="308" t="str">
        <f>IFERROR(VLOOKUP($CV34,参照データ!$J$65:$M$82,4,0),"")</f>
        <v/>
      </c>
      <c r="CX34" s="70"/>
      <c r="CY34" s="172" t="str">
        <f t="shared" si="22"/>
        <v/>
      </c>
      <c r="DA34" s="32"/>
      <c r="DB34" s="161" t="str">
        <f t="shared" si="23"/>
        <v/>
      </c>
      <c r="DC34" s="743">
        <v>12</v>
      </c>
      <c r="DD34" s="166" t="s">
        <v>107</v>
      </c>
      <c r="DE34" s="167" t="str">
        <f t="shared" si="44"/>
        <v/>
      </c>
      <c r="DF34" s="741" t="str">
        <f>IF(OR(DE34="",DE35=""),"",IF(DE34&gt;DE35,DE34,DE35))</f>
        <v/>
      </c>
      <c r="DG34" t="str">
        <f>IF($DH34="","",DATEDIF($AZ34,参照データ!$D$19,"Y"))</f>
        <v/>
      </c>
      <c r="DH34" s="253" t="str">
        <f>IFERROR(IF($BA34="男子",VLOOKUP($DO34,参照データ!$D$88:$E$117,2,0),$DO34),0)</f>
        <v/>
      </c>
      <c r="DI34" s="84" t="str">
        <f>IF($Z34="選手権",(VLOOKUP($DH34,参照データ!$D$88:$K$117,3,0)),"")</f>
        <v/>
      </c>
      <c r="DJ34" s="85" t="str">
        <f t="shared" si="7"/>
        <v/>
      </c>
      <c r="DK34" s="84" t="str">
        <f>IF($AB34="選手権",(VLOOKUP($DH34,参照データ!$D$88:$K$117,4,0)),"")</f>
        <v/>
      </c>
      <c r="DL34" s="85" t="str">
        <f t="shared" si="8"/>
        <v/>
      </c>
      <c r="DM34" s="84" t="str">
        <f>IF($AD34="選手権",(VLOOKUP($DH34,参照データ!$D$88:$K$117,5,0)),"")</f>
        <v/>
      </c>
      <c r="DN34" s="85" t="str">
        <f t="shared" si="9"/>
        <v/>
      </c>
      <c r="DO34" s="53" t="str">
        <f>IF(AND($AZ34&gt;=参照データ!$C$90,$AZ34&lt;=参照データ!$C$88),1,IF(AND($AZ34&gt;=参照データ!$C$93,$AZ34&lt;=参照データ!$C$91),2,IF(AND($AZ34&gt;=参照データ!$C$99,$AZ34&lt;=参照データ!$C$97),3,IF(AND($AZ34&gt;=参照データ!$C$105,$AZ34&lt;=参照データ!$C$103),4,IF(AND($AZ34&gt;=参照データ!$C$111,$AZ34&lt;=参照データ!$C$109),5,IF(AND($AZ34&gt;0,$AZ34&lt;=参照データ!$C$112),6,""))))))</f>
        <v/>
      </c>
      <c r="DP34" s="84" t="str">
        <f>IF($AF34="選手権",(VLOOKUP($DO34,参照データ!$D$88:$K$117,6,0)),"")</f>
        <v/>
      </c>
      <c r="DQ34" s="85" t="str">
        <f t="shared" si="10"/>
        <v/>
      </c>
      <c r="DR34" s="84" t="str">
        <f>IF($AH34="選手権",(VLOOKUP($DO34,参照データ!$D$88:$K$117,7,0)),"")</f>
        <v/>
      </c>
      <c r="DS34" s="85" t="str">
        <f t="shared" si="24"/>
        <v/>
      </c>
      <c r="DT34" s="33" t="str">
        <f t="shared" si="25"/>
        <v/>
      </c>
      <c r="DU34" s="32" t="str">
        <f t="shared" si="26"/>
        <v/>
      </c>
      <c r="DV34" s="85" t="str">
        <f t="shared" si="27"/>
        <v/>
      </c>
      <c r="DW34" s="736">
        <v>12</v>
      </c>
      <c r="DX34" s="93" t="s">
        <v>107</v>
      </c>
      <c r="DY34" s="94" t="str">
        <f t="shared" si="37"/>
        <v/>
      </c>
      <c r="DZ34" s="737" t="e">
        <f>IF($DY34&gt;$DY35,VLOOKUP($DY34,参照データ!$D$88:$K$117,8,0),VLOOKUP($DY35,参照データ!$D$88:$K$117,8,0))</f>
        <v>#N/A</v>
      </c>
      <c r="EA34" s="312" t="str">
        <f>IFERROR(VLOOKUP($DZ34,参照データ!$K$88:$O$117,5,0),"")</f>
        <v/>
      </c>
      <c r="EC34" s="491" t="str">
        <f t="shared" si="28"/>
        <v/>
      </c>
      <c r="EH34" s="35">
        <f>(COUNTIF($J34:$O34,"&lt;&gt;"))*参照データ!$E$3</f>
        <v>0</v>
      </c>
      <c r="EI34" s="219" t="str">
        <f>IF(P34="○",参照データ!$E$5,"")</f>
        <v/>
      </c>
      <c r="EJ34" s="219" t="str">
        <f>IF($Y34="○",参照データ!$E$4,"")</f>
        <v/>
      </c>
      <c r="EK34" s="18">
        <f>(SUM(COUNTIF($R34:$V34,{"入門","初級"}))*参照データ!$E$9)+(SUM(COUNTIF($R34:$V34,{"中級","上級"})*参照データ!$E$10))</f>
        <v>0</v>
      </c>
      <c r="EL34" s="18">
        <f>IFERROR(VLOOKUP($W34,参照データ!$D$9:$J$11,7,0),0)</f>
        <v>0</v>
      </c>
      <c r="EM34" s="18">
        <f>((COUNTIF($Z34:$AH34,"○"))*参照データ!$E$12)</f>
        <v>0</v>
      </c>
      <c r="EN34" s="18" t="str">
        <f>(IF($AJ34="○",参照データ!$J$12,""))</f>
        <v/>
      </c>
      <c r="EQ34" s="18">
        <f>((COUNTIF($Z34:$AH34,"選手権"))*参照データ!$E$13)</f>
        <v>0</v>
      </c>
      <c r="ER34" s="18" t="str">
        <f>(IF($AJ34="選手権",参照データ!$J$13,""))</f>
        <v/>
      </c>
      <c r="ES34" s="18">
        <f>(COUNTIF($AQ34:$AR34,"&lt;&gt;"))*参照データ!$H$3</f>
        <v>0</v>
      </c>
      <c r="ET34" s="18"/>
      <c r="EU34" s="18" t="str">
        <f>IF(AV34&lt;&gt;"",参照データ!$H$15,"")</f>
        <v/>
      </c>
      <c r="EV34" s="98" cm="1">
        <f t="array" ref="EV34">SUM(IF(ISERROR(EH34:EU34),0,(EH34:EU34)))</f>
        <v>0</v>
      </c>
      <c r="EW34" s="18"/>
      <c r="EX34" s="18">
        <f t="shared" si="11"/>
        <v>0</v>
      </c>
      <c r="EY34" s="18">
        <f t="shared" si="29"/>
        <v>0</v>
      </c>
      <c r="EZ34" s="18">
        <f t="shared" si="38"/>
        <v>0</v>
      </c>
      <c r="FA34" s="18">
        <f t="shared" si="30"/>
        <v>0</v>
      </c>
      <c r="FB34" s="18">
        <f t="shared" si="31"/>
        <v>0</v>
      </c>
      <c r="FC34" s="18">
        <f t="shared" si="32"/>
        <v>0</v>
      </c>
      <c r="FD34" s="18">
        <f t="shared" si="12"/>
        <v>0</v>
      </c>
      <c r="FE34" t="str">
        <f t="shared" si="33"/>
        <v/>
      </c>
    </row>
    <row r="35" spans="1:161" ht="18.75" customHeight="1" x14ac:dyDescent="0.2">
      <c r="A35">
        <v>24</v>
      </c>
      <c r="B35" s="14" t="str">
        <f>IF(D35="","",IF(D35="重複","",COUNTIF(B$12:$B34,"&gt;0")+1))</f>
        <v/>
      </c>
      <c r="C35" s="464"/>
      <c r="D35" s="177"/>
      <c r="E35" s="177"/>
      <c r="F35" s="31"/>
      <c r="G35" s="41"/>
      <c r="H35" s="351">
        <f t="shared" si="34"/>
        <v>0</v>
      </c>
      <c r="I35" s="193" t="str">
        <f>IF($AZ35=0,"",DATEDIF($AZ35,参照データ!$D$16,"Y"))</f>
        <v/>
      </c>
      <c r="J35" s="36"/>
      <c r="K35" s="36"/>
      <c r="L35" s="36"/>
      <c r="M35" s="36"/>
      <c r="N35" s="36"/>
      <c r="O35" s="42"/>
      <c r="P35" s="345"/>
      <c r="Q35" s="345"/>
      <c r="R35" s="43"/>
      <c r="S35" s="244"/>
      <c r="T35" s="244"/>
      <c r="U35" s="244"/>
      <c r="V35" s="245"/>
      <c r="W35" s="248"/>
      <c r="X35" s="250"/>
      <c r="Y35" s="345"/>
      <c r="Z35" s="388"/>
      <c r="AA35" s="346" t="str">
        <f>IF($Z35="○",VLOOKUP($CE35,参照データ!$D$65:$M$82,9,0),IF($Z35="選手権",VLOOKUP($DH35,参照データ!$D$88:$O$117,10,0),""))</f>
        <v/>
      </c>
      <c r="AB35" s="388"/>
      <c r="AC35" s="346" t="str">
        <f>IF($AB35="○",VLOOKUP($CE35,参照データ!$D$65:$M$82,10,0),IF($AB35="選手権",VLOOKUP($DH35,参照データ!$D$88:$O$117,11,0),""))</f>
        <v/>
      </c>
      <c r="AD35" s="388"/>
      <c r="AE35" s="346" t="str">
        <f>IF($AD35="○",VLOOKUP($CE35,参照データ!$D$65:$M$82,10,0),IF($AD35="選手権",VLOOKUP($DH35,参照データ!$D$88:$O$117,11,0),""))</f>
        <v/>
      </c>
      <c r="AF35" s="388"/>
      <c r="AG35" s="346" t="str">
        <f>IF($AF35="○",VLOOKUP($CE35,参照データ!$D$65:$M$82,10,0),IF($AF35="選手権",VLOOKUP($DO35,参照データ!$D$88:$O$117,12,0),""))</f>
        <v/>
      </c>
      <c r="AH35" s="388"/>
      <c r="AI35" s="346" t="str">
        <f>IF($AH35="○",VLOOKUP($CE35,参照データ!$D$65:$M$82,10,0),IF($AH35="選手権",VLOOKUP($DO35,参照データ!$D$88:$O$117,12,0),""))</f>
        <v/>
      </c>
      <c r="AJ35" s="388"/>
      <c r="AK35" s="511"/>
      <c r="AL35" s="346" t="str">
        <f t="shared" si="3"/>
        <v/>
      </c>
      <c r="AM35" s="392"/>
      <c r="AN35" s="391"/>
      <c r="AO35" s="391"/>
      <c r="AP35" s="447"/>
      <c r="AQ35" s="321"/>
      <c r="AR35" s="481"/>
      <c r="AS35" s="393"/>
      <c r="AT35" s="483"/>
      <c r="AU35" s="393"/>
      <c r="AV35" s="529"/>
      <c r="AW35" s="483"/>
      <c r="AZ35">
        <f t="shared" si="50"/>
        <v>0</v>
      </c>
      <c r="BA35" t="str">
        <f t="shared" si="35"/>
        <v/>
      </c>
      <c r="BB35" s="132"/>
      <c r="BD35" s="513" t="str">
        <f t="shared" si="4"/>
        <v/>
      </c>
      <c r="BE35" s="53" t="str">
        <f>IF($AZ35=0,"",IF(AND($I35&gt;=6,$I35&lt;=19),VLOOKUP($I35,参照データ!$B$24:$C$37,2,0),IF($I35&lt;6,6,19)))</f>
        <v/>
      </c>
      <c r="BF35" s="155" t="str">
        <f>IF($J35="○",VLOOKUP($BE35,参照データ!$C$24:$I$37,2,0),"")</f>
        <v/>
      </c>
      <c r="BG35" s="146" t="str">
        <f>IF($K35="○",VLOOKUP($BE35,参照データ!$C$24:$I$37,3,0),"")</f>
        <v/>
      </c>
      <c r="BH35" s="146" t="str">
        <f>IF($L35="○",VLOOKUP($BE35,参照データ!$C$24:$I$37,4,0),"")</f>
        <v/>
      </c>
      <c r="BI35" s="146" t="str">
        <f>IF($M35="○",VLOOKUP($BE35,参照データ!$C$24:$I$37,5,0),"")</f>
        <v/>
      </c>
      <c r="BJ35" s="146" t="str">
        <f>IF($N35="20日",VLOOKUP($BE35,参照データ!$C$24:$I$37,6,0),"")</f>
        <v/>
      </c>
      <c r="BK35" s="156" t="str">
        <f>IF($O35="20日",VLOOKUP($BE35,参照データ!$C$24:$I$37,7,0),"")</f>
        <v/>
      </c>
      <c r="BL35" s="155" t="str">
        <f>IF($J35="21日",VLOOKUP($BE35,参照データ!$C$24:$I$37,2,0),"")</f>
        <v/>
      </c>
      <c r="BM35" s="146" t="str">
        <f>IF($K35="21日",VLOOKUP($BE35,参照データ!$C$24:$I$37,3,0),"")</f>
        <v/>
      </c>
      <c r="BN35" s="146" t="str">
        <f>IF($L35="21日",VLOOKUP($BE35,参照データ!$C$24:$I$37,4,0),"")</f>
        <v/>
      </c>
      <c r="BO35" s="146" t="str">
        <f>IF($M35="21日",VLOOKUP($BE35,参照データ!$C$24:$I$37,5,0),"")</f>
        <v/>
      </c>
      <c r="BP35" s="146" t="str">
        <f>IF($N35="21日",VLOOKUP($BE35,参照データ!$C$24:$I$37,6,0),"")</f>
        <v/>
      </c>
      <c r="BQ35" s="156" t="str">
        <f>IF($O35="21日",VLOOKUP($BE35,参照データ!$C$24:$I$37,7,0),"")</f>
        <v/>
      </c>
      <c r="BR35" s="223" t="str">
        <f t="shared" si="42"/>
        <v/>
      </c>
      <c r="BS35" s="154" t="str">
        <f>IF($R35="入門",VLOOKUP($BE35,参照データ!$C$43:$U$56,2,0),IF($R35="初級",VLOOKUP($BE35,参照データ!$C$43:$U$56,3,0),IF($R35="中級",VLOOKUP($BE35,参照データ!$C$43:$U$56,4,0),IF($R35="上級",VLOOKUP($BE35,参照データ!$C$43:$U$56,5,0),""))))</f>
        <v/>
      </c>
      <c r="BT35" s="154" t="str">
        <f>IF($S35="初級",VLOOKUP($BE35,参照データ!$C$43:$U$56,6,0),IF($S35="中級",VLOOKUP($BE35,参照データ!$C$43:$U$56,7,0),IF($S35="上級",VLOOKUP($BE35,参照データ!$C$43:$U$56,8,0),"")))</f>
        <v/>
      </c>
      <c r="BU35" s="154" t="str">
        <f>IF($T35="初級",VLOOKUP($BE35,参照データ!$C$43:$U$56,9,0),IF($T35="上級",VLOOKUP($BE35,参照データ!$C$43:$U$56,10,0),""))</f>
        <v/>
      </c>
      <c r="BV35" s="154" t="str">
        <f>IF($U35="初級",VLOOKUP($BE35,参照データ!$C$43:$U$56,11,0),IF($U35="中級",VLOOKUP($BE35,参照データ!$C$43:$U$56,12,0),IF($U35="上級",VLOOKUP($BE35,参照データ!$C$43:$U$56,13,0),"")))</f>
        <v/>
      </c>
      <c r="BW35" s="154" t="str">
        <f>IF($V35="初級",VLOOKUP($BE35,参照データ!$C$43:$U$56,14,0),IF($V35="中級",VLOOKUP($BE35,参照データ!$C$43:$U$56,15,0),IF($V35="上級",VLOOKUP($BE35,参照データ!$C$43:$U$56,16,0),"")))</f>
        <v/>
      </c>
      <c r="BX35" s="47" t="str">
        <f t="shared" si="5"/>
        <v/>
      </c>
      <c r="BY35" s="47" t="str">
        <f>IF($W35="初級",VLOOKUP($BE35,参照データ!$C$43:$U$56,17,0),IF($W35="中級",VLOOKUP($BE35,参照データ!$C$43:$U$56,18,0),IF($W35="上級",VLOOKUP($BE35,参照データ!$C$43:$U$56,19,0),"")))</f>
        <v/>
      </c>
      <c r="BZ35" s="687"/>
      <c r="CA35" s="65" t="s">
        <v>247</v>
      </c>
      <c r="CB35" s="135" t="str">
        <f t="shared" si="13"/>
        <v/>
      </c>
      <c r="CC35" s="689"/>
      <c r="CE35" s="53" t="str">
        <f>IF(AND($AZ35&gt;=参照データ!$C$67,$AZ35&lt;=参照データ!$C$65),1,IF(AND($AZ35&gt;=参照データ!$C$70,$AZ35&lt;=参照データ!$C$68),2,IF(AND($AZ35&gt;=参照データ!$C$73,$AZ35&lt;=参照データ!$C$71),3,IF(AND($AZ35&gt;=参照データ!$C$76,$AZ35&lt;=参照データ!$C$74),4,IF(AND($AZ35&gt;=参照データ!$C$79,$AZ35&lt;=参照データ!$C$77),5,IF(AND($AZ35&gt;0,$AZ35&lt;=参照データ!$C$80),6,""))))))</f>
        <v/>
      </c>
      <c r="CF35" s="141" t="str">
        <f>IF($Z35="○",(VLOOKUP($CE35,参照データ!$D$65:$J$82,2,0)),"")</f>
        <v/>
      </c>
      <c r="CG35" s="71" t="str">
        <f t="shared" si="14"/>
        <v/>
      </c>
      <c r="CH35" s="70" t="str">
        <f>IF($AB35="○",(VLOOKUP($CE35,参照データ!$D$65:$J$82,3,0)),"")</f>
        <v/>
      </c>
      <c r="CI35" s="71" t="str">
        <f t="shared" si="15"/>
        <v/>
      </c>
      <c r="CJ35" s="70" t="str">
        <f>IF($AD35="○",(VLOOKUP($CE35,参照データ!$D$65:$J$82,4,0)),"")</f>
        <v/>
      </c>
      <c r="CK35" s="71" t="str">
        <f t="shared" si="16"/>
        <v/>
      </c>
      <c r="CL35" s="70" t="str">
        <f>IF($AF35="○",(VLOOKUP($CE35,参照データ!$D$65:$J$82,5,0)),"")</f>
        <v/>
      </c>
      <c r="CM35" s="71" t="str">
        <f t="shared" si="6"/>
        <v/>
      </c>
      <c r="CN35" s="70" t="str">
        <f>IF($AH35="○",(VLOOKUP($CE35,参照データ!$D$65:$J$82,6,0)),"")</f>
        <v/>
      </c>
      <c r="CO35" s="71" t="str">
        <f t="shared" si="17"/>
        <v/>
      </c>
      <c r="CP35" s="33" t="str">
        <f t="shared" si="18"/>
        <v/>
      </c>
      <c r="CQ35" s="32" t="str">
        <f t="shared" si="19"/>
        <v/>
      </c>
      <c r="CR35" s="71" t="str">
        <f t="shared" si="20"/>
        <v/>
      </c>
      <c r="CS35" s="682"/>
      <c r="CT35" s="77" t="s">
        <v>108</v>
      </c>
      <c r="CU35" s="78" t="str">
        <f t="shared" si="21"/>
        <v/>
      </c>
      <c r="CV35" s="684"/>
      <c r="CW35" s="308" t="str">
        <f t="shared" ref="CW35" si="71">$CW34</f>
        <v/>
      </c>
      <c r="CX35" s="70"/>
      <c r="CY35" s="172" t="str">
        <f t="shared" si="22"/>
        <v/>
      </c>
      <c r="DA35" s="32"/>
      <c r="DB35" s="161" t="str">
        <f t="shared" si="23"/>
        <v/>
      </c>
      <c r="DC35" s="744"/>
      <c r="DD35" s="164" t="s">
        <v>108</v>
      </c>
      <c r="DE35" s="165" t="str">
        <f t="shared" si="44"/>
        <v/>
      </c>
      <c r="DF35" s="742"/>
      <c r="DG35" t="str">
        <f>IF($DH35="","",DATEDIF($AZ35,参照データ!$D$19,"Y"))</f>
        <v/>
      </c>
      <c r="DH35" s="253" t="str">
        <f>IFERROR(IF($BA35="男子",VLOOKUP($DO35,参照データ!$D$88:$E$117,2,0),$DO35),0)</f>
        <v/>
      </c>
      <c r="DI35" s="84" t="str">
        <f>IF($Z35="選手権",(VLOOKUP($DH35,参照データ!$D$88:$K$117,3,0)),"")</f>
        <v/>
      </c>
      <c r="DJ35" s="85" t="str">
        <f t="shared" si="7"/>
        <v/>
      </c>
      <c r="DK35" s="84" t="str">
        <f>IF($AB35="選手権",(VLOOKUP($DH35,参照データ!$D$88:$K$117,4,0)),"")</f>
        <v/>
      </c>
      <c r="DL35" s="85" t="str">
        <f t="shared" si="8"/>
        <v/>
      </c>
      <c r="DM35" s="84" t="str">
        <f>IF($AD35="選手権",(VLOOKUP($DH35,参照データ!$D$88:$K$117,5,0)),"")</f>
        <v/>
      </c>
      <c r="DN35" s="85" t="str">
        <f t="shared" si="9"/>
        <v/>
      </c>
      <c r="DO35" s="53" t="str">
        <f>IF(AND($AZ35&gt;=参照データ!$C$90,$AZ35&lt;=参照データ!$C$88),1,IF(AND($AZ35&gt;=参照データ!$C$93,$AZ35&lt;=参照データ!$C$91),2,IF(AND($AZ35&gt;=参照データ!$C$99,$AZ35&lt;=参照データ!$C$97),3,IF(AND($AZ35&gt;=参照データ!$C$105,$AZ35&lt;=参照データ!$C$103),4,IF(AND($AZ35&gt;=参照データ!$C$111,$AZ35&lt;=参照データ!$C$109),5,IF(AND($AZ35&gt;0,$AZ35&lt;=参照データ!$C$112),6,""))))))</f>
        <v/>
      </c>
      <c r="DP35" s="84" t="str">
        <f>IF($AF35="選手権",(VLOOKUP($DO35,参照データ!$D$88:$K$117,6,0)),"")</f>
        <v/>
      </c>
      <c r="DQ35" s="85" t="str">
        <f t="shared" si="10"/>
        <v/>
      </c>
      <c r="DR35" s="84" t="str">
        <f>IF($AH35="選手権",(VLOOKUP($DO35,参照データ!$D$88:$K$117,7,0)),"")</f>
        <v/>
      </c>
      <c r="DS35" s="85" t="str">
        <f t="shared" si="24"/>
        <v/>
      </c>
      <c r="DT35" s="33" t="str">
        <f t="shared" si="25"/>
        <v/>
      </c>
      <c r="DU35" s="32" t="str">
        <f t="shared" si="26"/>
        <v/>
      </c>
      <c r="DV35" s="85" t="str">
        <f t="shared" si="27"/>
        <v/>
      </c>
      <c r="DW35" s="733"/>
      <c r="DX35" s="91" t="s">
        <v>108</v>
      </c>
      <c r="DY35" s="92" t="str">
        <f t="shared" si="37"/>
        <v/>
      </c>
      <c r="DZ35" s="735"/>
      <c r="EA35" s="312" t="str">
        <f t="shared" si="65"/>
        <v/>
      </c>
      <c r="EC35" s="491" t="str">
        <f t="shared" si="28"/>
        <v/>
      </c>
      <c r="EH35" s="35">
        <f>(COUNTIF($J35:$O35,"&lt;&gt;"))*参照データ!$E$3</f>
        <v>0</v>
      </c>
      <c r="EI35" s="219" t="str">
        <f>IF(P35="○",参照データ!$E$5,"")</f>
        <v/>
      </c>
      <c r="EJ35" s="219" t="str">
        <f>IF($Y35="○",参照データ!$E$4,"")</f>
        <v/>
      </c>
      <c r="EK35" s="18">
        <f>(SUM(COUNTIF($R35:$V35,{"入門","初級"}))*参照データ!$E$9)+(SUM(COUNTIF($R35:$V35,{"中級","上級"})*参照データ!$E$10))</f>
        <v>0</v>
      </c>
      <c r="EL35" s="18">
        <f>IFERROR(VLOOKUP($W35,参照データ!$D$9:$J$11,7,0),0)</f>
        <v>0</v>
      </c>
      <c r="EM35" s="18">
        <f>((COUNTIF($Z35:$AH35,"○"))*参照データ!$E$12)</f>
        <v>0</v>
      </c>
      <c r="EN35" s="18" t="str">
        <f>(IF($AJ35="○",参照データ!$J$12,""))</f>
        <v/>
      </c>
      <c r="EQ35" s="18">
        <f>((COUNTIF($Z35:$AH35,"選手権"))*参照データ!$E$13)</f>
        <v>0</v>
      </c>
      <c r="ER35" s="18" t="str">
        <f>(IF($AJ35="選手権",参照データ!$J$13,""))</f>
        <v/>
      </c>
      <c r="ES35" s="18">
        <f>(COUNTIF($AQ35:$AR35,"&lt;&gt;"))*参照データ!$H$3</f>
        <v>0</v>
      </c>
      <c r="ET35" s="18"/>
      <c r="EU35" s="18" t="str">
        <f>IF(AV35&lt;&gt;"",参照データ!$H$15,"")</f>
        <v/>
      </c>
      <c r="EV35" s="98" cm="1">
        <f t="array" ref="EV35">SUM(IF(ISERROR(EH35:EU35),0,(EH35:EU35)))</f>
        <v>0</v>
      </c>
      <c r="EW35" s="18"/>
      <c r="EX35" s="18">
        <f t="shared" si="11"/>
        <v>0</v>
      </c>
      <c r="EY35" s="18">
        <f t="shared" si="29"/>
        <v>0</v>
      </c>
      <c r="EZ35" s="18">
        <f t="shared" si="38"/>
        <v>0</v>
      </c>
      <c r="FA35" s="18">
        <f t="shared" si="30"/>
        <v>0</v>
      </c>
      <c r="FB35" s="18">
        <f t="shared" si="31"/>
        <v>0</v>
      </c>
      <c r="FC35" s="18">
        <f t="shared" si="32"/>
        <v>0</v>
      </c>
      <c r="FD35" s="18">
        <f t="shared" si="12"/>
        <v>0</v>
      </c>
      <c r="FE35" t="str">
        <f t="shared" si="33"/>
        <v/>
      </c>
    </row>
    <row r="36" spans="1:161" ht="18.75" customHeight="1" x14ac:dyDescent="0.2">
      <c r="A36">
        <v>25</v>
      </c>
      <c r="B36" s="14" t="str">
        <f>IF(D36="","",IF(D36="重複","",COUNTIF(B$12:$B35,"&gt;0")+1))</f>
        <v/>
      </c>
      <c r="C36" s="464"/>
      <c r="D36" s="177"/>
      <c r="E36" s="177"/>
      <c r="F36" s="31"/>
      <c r="G36" s="41"/>
      <c r="H36" s="351">
        <f t="shared" si="34"/>
        <v>0</v>
      </c>
      <c r="I36" s="193" t="str">
        <f>IF($AZ36=0,"",DATEDIF($AZ36,参照データ!$D$16,"Y"))</f>
        <v/>
      </c>
      <c r="J36" s="36"/>
      <c r="K36" s="36"/>
      <c r="L36" s="36"/>
      <c r="M36" s="36"/>
      <c r="N36" s="36"/>
      <c r="O36" s="42"/>
      <c r="P36" s="345"/>
      <c r="Q36" s="345"/>
      <c r="R36" s="43"/>
      <c r="S36" s="244"/>
      <c r="T36" s="244"/>
      <c r="U36" s="244"/>
      <c r="V36" s="245"/>
      <c r="W36" s="248"/>
      <c r="X36" s="250"/>
      <c r="Y36" s="345"/>
      <c r="Z36" s="388"/>
      <c r="AA36" s="346" t="str">
        <f>IF($Z36="○",VLOOKUP($CE36,参照データ!$D$65:$M$82,9,0),IF($Z36="選手権",VLOOKUP($DH36,参照データ!$D$88:$O$117,10,0),""))</f>
        <v/>
      </c>
      <c r="AB36" s="388"/>
      <c r="AC36" s="346" t="str">
        <f>IF($AB36="○",VLOOKUP($CE36,参照データ!$D$65:$M$82,10,0),IF($AB36="選手権",VLOOKUP($DH36,参照データ!$D$88:$O$117,11,0),""))</f>
        <v/>
      </c>
      <c r="AD36" s="388"/>
      <c r="AE36" s="346" t="str">
        <f>IF($AD36="○",VLOOKUP($CE36,参照データ!$D$65:$M$82,10,0),IF($AD36="選手権",VLOOKUP($DH36,参照データ!$D$88:$O$117,11,0),""))</f>
        <v/>
      </c>
      <c r="AF36" s="388"/>
      <c r="AG36" s="346" t="str">
        <f>IF($AF36="○",VLOOKUP($CE36,参照データ!$D$65:$M$82,10,0),IF($AF36="選手権",VLOOKUP($DO36,参照データ!$D$88:$O$117,12,0),""))</f>
        <v/>
      </c>
      <c r="AH36" s="388"/>
      <c r="AI36" s="346" t="str">
        <f>IF($AH36="○",VLOOKUP($CE36,参照データ!$D$65:$M$82,10,0),IF($AH36="選手権",VLOOKUP($DO36,参照データ!$D$88:$O$117,12,0),""))</f>
        <v/>
      </c>
      <c r="AJ36" s="388"/>
      <c r="AK36" s="511"/>
      <c r="AL36" s="346" t="str">
        <f t="shared" si="3"/>
        <v/>
      </c>
      <c r="AM36" s="392"/>
      <c r="AN36" s="391"/>
      <c r="AO36" s="391"/>
      <c r="AP36" s="447"/>
      <c r="AQ36" s="321"/>
      <c r="AR36" s="481"/>
      <c r="AS36" s="393"/>
      <c r="AT36" s="483"/>
      <c r="AU36" s="393"/>
      <c r="AV36" s="529"/>
      <c r="AW36" s="483"/>
      <c r="AZ36">
        <f t="shared" si="50"/>
        <v>0</v>
      </c>
      <c r="BA36" t="str">
        <f t="shared" si="35"/>
        <v/>
      </c>
      <c r="BB36" s="132"/>
      <c r="BD36" s="513" t="str">
        <f t="shared" si="4"/>
        <v/>
      </c>
      <c r="BE36" s="53" t="str">
        <f>IF($AZ36=0,"",IF(AND($I36&gt;=6,$I36&lt;=19),VLOOKUP($I36,参照データ!$B$24:$C$37,2,0),IF($I36&lt;6,6,19)))</f>
        <v/>
      </c>
      <c r="BF36" s="155" t="str">
        <f>IF($J36="○",VLOOKUP($BE36,参照データ!$C$24:$I$37,2,0),"")</f>
        <v/>
      </c>
      <c r="BG36" s="146" t="str">
        <f>IF($K36="○",VLOOKUP($BE36,参照データ!$C$24:$I$37,3,0),"")</f>
        <v/>
      </c>
      <c r="BH36" s="146" t="str">
        <f>IF($L36="○",VLOOKUP($BE36,参照データ!$C$24:$I$37,4,0),"")</f>
        <v/>
      </c>
      <c r="BI36" s="146" t="str">
        <f>IF($M36="○",VLOOKUP($BE36,参照データ!$C$24:$I$37,5,0),"")</f>
        <v/>
      </c>
      <c r="BJ36" s="146" t="str">
        <f>IF($N36="20日",VLOOKUP($BE36,参照データ!$C$24:$I$37,6,0),"")</f>
        <v/>
      </c>
      <c r="BK36" s="156" t="str">
        <f>IF($O36="20日",VLOOKUP($BE36,参照データ!$C$24:$I$37,7,0),"")</f>
        <v/>
      </c>
      <c r="BL36" s="155" t="str">
        <f>IF($J36="21日",VLOOKUP($BE36,参照データ!$C$24:$I$37,2,0),"")</f>
        <v/>
      </c>
      <c r="BM36" s="146" t="str">
        <f>IF($K36="21日",VLOOKUP($BE36,参照データ!$C$24:$I$37,3,0),"")</f>
        <v/>
      </c>
      <c r="BN36" s="146" t="str">
        <f>IF($L36="21日",VLOOKUP($BE36,参照データ!$C$24:$I$37,4,0),"")</f>
        <v/>
      </c>
      <c r="BO36" s="146" t="str">
        <f>IF($M36="21日",VLOOKUP($BE36,参照データ!$C$24:$I$37,5,0),"")</f>
        <v/>
      </c>
      <c r="BP36" s="146" t="str">
        <f>IF($N36="21日",VLOOKUP($BE36,参照データ!$C$24:$I$37,6,0),"")</f>
        <v/>
      </c>
      <c r="BQ36" s="156" t="str">
        <f>IF($O36="21日",VLOOKUP($BE36,参照データ!$C$24:$I$37,7,0),"")</f>
        <v/>
      </c>
      <c r="BR36" s="223" t="str">
        <f t="shared" si="42"/>
        <v/>
      </c>
      <c r="BS36" s="154" t="str">
        <f>IF($R36="入門",VLOOKUP($BE36,参照データ!$C$43:$U$56,2,0),IF($R36="初級",VLOOKUP($BE36,参照データ!$C$43:$U$56,3,0),IF($R36="中級",VLOOKUP($BE36,参照データ!$C$43:$U$56,4,0),IF($R36="上級",VLOOKUP($BE36,参照データ!$C$43:$U$56,5,0),""))))</f>
        <v/>
      </c>
      <c r="BT36" s="154" t="str">
        <f>IF($S36="初級",VLOOKUP($BE36,参照データ!$C$43:$U$56,6,0),IF($S36="中級",VLOOKUP($BE36,参照データ!$C$43:$U$56,7,0),IF($S36="上級",VLOOKUP($BE36,参照データ!$C$43:$U$56,8,0),"")))</f>
        <v/>
      </c>
      <c r="BU36" s="154" t="str">
        <f>IF($T36="初級",VLOOKUP($BE36,参照データ!$C$43:$U$56,9,0),IF($T36="上級",VLOOKUP($BE36,参照データ!$C$43:$U$56,10,0),""))</f>
        <v/>
      </c>
      <c r="BV36" s="154" t="str">
        <f>IF($U36="初級",VLOOKUP($BE36,参照データ!$C$43:$U$56,11,0),IF($U36="中級",VLOOKUP($BE36,参照データ!$C$43:$U$56,12,0),IF($U36="上級",VLOOKUP($BE36,参照データ!$C$43:$U$56,13,0),"")))</f>
        <v/>
      </c>
      <c r="BW36" s="154" t="str">
        <f>IF($V36="初級",VLOOKUP($BE36,参照データ!$C$43:$U$56,14,0),IF($V36="中級",VLOOKUP($BE36,参照データ!$C$43:$U$56,15,0),IF($V36="上級",VLOOKUP($BE36,参照データ!$C$43:$U$56,16,0),"")))</f>
        <v/>
      </c>
      <c r="BX36" s="47" t="str">
        <f t="shared" si="5"/>
        <v/>
      </c>
      <c r="BY36" s="47" t="str">
        <f>IF($W36="初級",VLOOKUP($BE36,参照データ!$C$43:$U$56,17,0),IF($W36="中級",VLOOKUP($BE36,参照データ!$C$43:$U$56,18,0),IF($W36="上級",VLOOKUP($BE36,参照データ!$C$43:$U$56,19,0),"")))</f>
        <v/>
      </c>
      <c r="BZ36" s="686">
        <v>13</v>
      </c>
      <c r="CA36" s="66" t="s">
        <v>248</v>
      </c>
      <c r="CB36" s="136" t="str">
        <f t="shared" si="13"/>
        <v/>
      </c>
      <c r="CC36" s="688" t="str">
        <f t="shared" ref="CC36" si="72">IF(OR($CB36="",$CB37=""),"",IF($CB36&gt;$CB37,$CB36,$CB37))</f>
        <v/>
      </c>
      <c r="CE36" s="53" t="str">
        <f>IF(AND($AZ36&gt;=参照データ!$C$67,$AZ36&lt;=参照データ!$C$65),1,IF(AND($AZ36&gt;=参照データ!$C$70,$AZ36&lt;=参照データ!$C$68),2,IF(AND($AZ36&gt;=参照データ!$C$73,$AZ36&lt;=参照データ!$C$71),3,IF(AND($AZ36&gt;=参照データ!$C$76,$AZ36&lt;=参照データ!$C$74),4,IF(AND($AZ36&gt;=参照データ!$C$79,$AZ36&lt;=参照データ!$C$77),5,IF(AND($AZ36&gt;0,$AZ36&lt;=参照データ!$C$80),6,""))))))</f>
        <v/>
      </c>
      <c r="CF36" s="141" t="str">
        <f>IF($Z36="○",(VLOOKUP($CE36,参照データ!$D$65:$J$82,2,0)),"")</f>
        <v/>
      </c>
      <c r="CG36" s="71" t="str">
        <f t="shared" si="14"/>
        <v/>
      </c>
      <c r="CH36" s="70" t="str">
        <f>IF($AB36="○",(VLOOKUP($CE36,参照データ!$D$65:$J$82,3,0)),"")</f>
        <v/>
      </c>
      <c r="CI36" s="71" t="str">
        <f t="shared" si="15"/>
        <v/>
      </c>
      <c r="CJ36" s="70" t="str">
        <f>IF($AD36="○",(VLOOKUP($CE36,参照データ!$D$65:$J$82,4,0)),"")</f>
        <v/>
      </c>
      <c r="CK36" s="71" t="str">
        <f t="shared" si="16"/>
        <v/>
      </c>
      <c r="CL36" s="70" t="str">
        <f>IF($AF36="○",(VLOOKUP($CE36,参照データ!$D$65:$J$82,5,0)),"")</f>
        <v/>
      </c>
      <c r="CM36" s="71" t="str">
        <f t="shared" si="6"/>
        <v/>
      </c>
      <c r="CN36" s="70" t="str">
        <f>IF($AH36="○",(VLOOKUP($CE36,参照データ!$D$65:$J$82,6,0)),"")</f>
        <v/>
      </c>
      <c r="CO36" s="71" t="str">
        <f t="shared" si="17"/>
        <v/>
      </c>
      <c r="CP36" s="33" t="str">
        <f t="shared" si="18"/>
        <v/>
      </c>
      <c r="CQ36" s="32" t="str">
        <f t="shared" si="19"/>
        <v/>
      </c>
      <c r="CR36" s="71" t="str">
        <f t="shared" si="20"/>
        <v/>
      </c>
      <c r="CS36" s="681">
        <v>13</v>
      </c>
      <c r="CT36" s="79" t="s">
        <v>109</v>
      </c>
      <c r="CU36" s="80" t="str">
        <f t="shared" si="21"/>
        <v/>
      </c>
      <c r="CV36" s="683" t="e">
        <f>IF($CU36&gt;$CU37,VLOOKUP($CU36,参照データ!$D$65:$J$82,7,0),VLOOKUP($CU37,参照データ!$D$65:$J$82,7,0))</f>
        <v>#N/A</v>
      </c>
      <c r="CW36" s="308" t="str">
        <f>IFERROR(VLOOKUP($CV36,参照データ!$J$65:$M$82,4,0),"")</f>
        <v/>
      </c>
      <c r="CX36" s="70"/>
      <c r="CY36" s="172" t="str">
        <f t="shared" si="22"/>
        <v/>
      </c>
      <c r="DA36" s="32"/>
      <c r="DB36" s="161" t="str">
        <f t="shared" si="23"/>
        <v/>
      </c>
      <c r="DC36" s="743">
        <v>13</v>
      </c>
      <c r="DD36" s="166" t="s">
        <v>109</v>
      </c>
      <c r="DE36" s="167" t="str">
        <f t="shared" si="44"/>
        <v/>
      </c>
      <c r="DF36" s="741" t="str">
        <f>IF(OR(DE36="",DE37=""),"",IF(DE36&gt;DE37,DE36,DE37))</f>
        <v/>
      </c>
      <c r="DG36" t="str">
        <f>IF($DH36="","",DATEDIF($AZ36,参照データ!$D$19,"Y"))</f>
        <v/>
      </c>
      <c r="DH36" s="253" t="str">
        <f>IFERROR(IF($BA36="男子",VLOOKUP($DO36,参照データ!$D$88:$E$117,2,0),$DO36),0)</f>
        <v/>
      </c>
      <c r="DI36" s="84" t="str">
        <f>IF($Z36="選手権",(VLOOKUP($DH36,参照データ!$D$88:$K$117,3,0)),"")</f>
        <v/>
      </c>
      <c r="DJ36" s="85" t="str">
        <f t="shared" si="7"/>
        <v/>
      </c>
      <c r="DK36" s="84" t="str">
        <f>IF($AB36="選手権",(VLOOKUP($DH36,参照データ!$D$88:$K$117,4,0)),"")</f>
        <v/>
      </c>
      <c r="DL36" s="85" t="str">
        <f t="shared" si="8"/>
        <v/>
      </c>
      <c r="DM36" s="84" t="str">
        <f>IF($AD36="選手権",(VLOOKUP($DH36,参照データ!$D$88:$K$117,5,0)),"")</f>
        <v/>
      </c>
      <c r="DN36" s="85" t="str">
        <f t="shared" si="9"/>
        <v/>
      </c>
      <c r="DO36" s="53" t="str">
        <f>IF(AND($AZ36&gt;=参照データ!$C$90,$AZ36&lt;=参照データ!$C$88),1,IF(AND($AZ36&gt;=参照データ!$C$93,$AZ36&lt;=参照データ!$C$91),2,IF(AND($AZ36&gt;=参照データ!$C$99,$AZ36&lt;=参照データ!$C$97),3,IF(AND($AZ36&gt;=参照データ!$C$105,$AZ36&lt;=参照データ!$C$103),4,IF(AND($AZ36&gt;=参照データ!$C$111,$AZ36&lt;=参照データ!$C$109),5,IF(AND($AZ36&gt;0,$AZ36&lt;=参照データ!$C$112),6,""))))))</f>
        <v/>
      </c>
      <c r="DP36" s="84" t="str">
        <f>IF($AF36="選手権",(VLOOKUP($DO36,参照データ!$D$88:$K$117,6,0)),"")</f>
        <v/>
      </c>
      <c r="DQ36" s="85" t="str">
        <f t="shared" si="10"/>
        <v/>
      </c>
      <c r="DR36" s="84" t="str">
        <f>IF($AH36="選手権",(VLOOKUP($DO36,参照データ!$D$88:$K$117,7,0)),"")</f>
        <v/>
      </c>
      <c r="DS36" s="85" t="str">
        <f t="shared" si="24"/>
        <v/>
      </c>
      <c r="DT36" s="33" t="str">
        <f t="shared" si="25"/>
        <v/>
      </c>
      <c r="DU36" s="32" t="str">
        <f t="shared" si="26"/>
        <v/>
      </c>
      <c r="DV36" s="85" t="str">
        <f t="shared" si="27"/>
        <v/>
      </c>
      <c r="DW36" s="736">
        <v>13</v>
      </c>
      <c r="DX36" s="93" t="s">
        <v>109</v>
      </c>
      <c r="DY36" s="94" t="str">
        <f t="shared" si="37"/>
        <v/>
      </c>
      <c r="DZ36" s="737" t="e">
        <f>IF($DY36&gt;$DY37,VLOOKUP($DY36,参照データ!$D$88:$K$117,8,0),VLOOKUP($DY37,参照データ!$D$88:$K$117,8,0))</f>
        <v>#N/A</v>
      </c>
      <c r="EA36" s="312" t="str">
        <f>IFERROR(VLOOKUP($DZ36,参照データ!$K$88:$O$117,5,0),"")</f>
        <v/>
      </c>
      <c r="EC36" s="491" t="str">
        <f t="shared" si="28"/>
        <v/>
      </c>
      <c r="EH36" s="35">
        <f>(COUNTIF($J36:$O36,"&lt;&gt;"))*参照データ!$E$3</f>
        <v>0</v>
      </c>
      <c r="EI36" s="219" t="str">
        <f>IF(P36="○",参照データ!$E$5,"")</f>
        <v/>
      </c>
      <c r="EJ36" s="219" t="str">
        <f>IF($Y36="○",参照データ!$E$4,"")</f>
        <v/>
      </c>
      <c r="EK36" s="18">
        <f>(SUM(COUNTIF($R36:$V36,{"入門","初級"}))*参照データ!$E$9)+(SUM(COUNTIF($R36:$V36,{"中級","上級"})*参照データ!$E$10))</f>
        <v>0</v>
      </c>
      <c r="EL36" s="18">
        <f>IFERROR(VLOOKUP($W36,参照データ!$D$9:$J$11,7,0),0)</f>
        <v>0</v>
      </c>
      <c r="EM36" s="18">
        <f>((COUNTIF($Z36:$AH36,"○"))*参照データ!$E$12)</f>
        <v>0</v>
      </c>
      <c r="EN36" s="18" t="str">
        <f>(IF($AJ36="○",参照データ!$J$12,""))</f>
        <v/>
      </c>
      <c r="EQ36" s="18">
        <f>((COUNTIF($Z36:$AH36,"選手権"))*参照データ!$E$13)</f>
        <v>0</v>
      </c>
      <c r="ER36" s="18" t="str">
        <f>(IF($AJ36="選手権",参照データ!$J$13,""))</f>
        <v/>
      </c>
      <c r="ES36" s="18">
        <f>(COUNTIF($AQ36:$AR36,"&lt;&gt;"))*参照データ!$H$3</f>
        <v>0</v>
      </c>
      <c r="ET36" s="18"/>
      <c r="EU36" s="18" t="str">
        <f>IF(AV36&lt;&gt;"",参照データ!$H$15,"")</f>
        <v/>
      </c>
      <c r="EV36" s="98" cm="1">
        <f t="array" ref="EV36">SUM(IF(ISERROR(EH36:EU36),0,(EH36:EU36)))</f>
        <v>0</v>
      </c>
      <c r="EW36" s="18"/>
      <c r="EX36" s="18">
        <f t="shared" si="11"/>
        <v>0</v>
      </c>
      <c r="EY36" s="18">
        <f t="shared" si="29"/>
        <v>0</v>
      </c>
      <c r="EZ36" s="18">
        <f t="shared" si="38"/>
        <v>0</v>
      </c>
      <c r="FA36" s="18">
        <f t="shared" si="30"/>
        <v>0</v>
      </c>
      <c r="FB36" s="18">
        <f t="shared" si="31"/>
        <v>0</v>
      </c>
      <c r="FC36" s="18">
        <f t="shared" si="32"/>
        <v>0</v>
      </c>
      <c r="FD36" s="18">
        <f t="shared" si="12"/>
        <v>0</v>
      </c>
      <c r="FE36" t="str">
        <f t="shared" si="33"/>
        <v/>
      </c>
    </row>
    <row r="37" spans="1:161" ht="18.75" customHeight="1" x14ac:dyDescent="0.2">
      <c r="A37">
        <v>26</v>
      </c>
      <c r="B37" s="14" t="str">
        <f>IF(D37="","",IF(D37="重複","",COUNTIF(B$12:$B36,"&gt;0")+1))</f>
        <v/>
      </c>
      <c r="C37" s="464"/>
      <c r="D37" s="177"/>
      <c r="E37" s="177"/>
      <c r="F37" s="31"/>
      <c r="G37" s="41"/>
      <c r="H37" s="351">
        <f t="shared" si="34"/>
        <v>0</v>
      </c>
      <c r="I37" s="193" t="str">
        <f>IF($AZ37=0,"",DATEDIF($AZ37,参照データ!$D$16,"Y"))</f>
        <v/>
      </c>
      <c r="J37" s="36"/>
      <c r="K37" s="36"/>
      <c r="L37" s="36"/>
      <c r="M37" s="36"/>
      <c r="N37" s="36"/>
      <c r="O37" s="42"/>
      <c r="P37" s="345"/>
      <c r="Q37" s="345"/>
      <c r="R37" s="43"/>
      <c r="S37" s="244"/>
      <c r="T37" s="244"/>
      <c r="U37" s="244"/>
      <c r="V37" s="245"/>
      <c r="W37" s="248"/>
      <c r="X37" s="250"/>
      <c r="Y37" s="345"/>
      <c r="Z37" s="388"/>
      <c r="AA37" s="346" t="str">
        <f>IF($Z37="○",VLOOKUP($CE37,参照データ!$D$65:$M$82,9,0),IF($Z37="選手権",VLOOKUP($DH37,参照データ!$D$88:$O$117,10,0),""))</f>
        <v/>
      </c>
      <c r="AB37" s="388"/>
      <c r="AC37" s="346" t="str">
        <f>IF($AB37="○",VLOOKUP($CE37,参照データ!$D$65:$M$82,10,0),IF($AB37="選手権",VLOOKUP($DH37,参照データ!$D$88:$O$117,11,0),""))</f>
        <v/>
      </c>
      <c r="AD37" s="388"/>
      <c r="AE37" s="346" t="str">
        <f>IF($AD37="○",VLOOKUP($CE37,参照データ!$D$65:$M$82,10,0),IF($AD37="選手権",VLOOKUP($DH37,参照データ!$D$88:$O$117,11,0),""))</f>
        <v/>
      </c>
      <c r="AF37" s="388"/>
      <c r="AG37" s="346" t="str">
        <f>IF($AF37="○",VLOOKUP($CE37,参照データ!$D$65:$M$82,10,0),IF($AF37="選手権",VLOOKUP($DO37,参照データ!$D$88:$O$117,12,0),""))</f>
        <v/>
      </c>
      <c r="AH37" s="388"/>
      <c r="AI37" s="346" t="str">
        <f>IF($AH37="○",VLOOKUP($CE37,参照データ!$D$65:$M$82,10,0),IF($AH37="選手権",VLOOKUP($DO37,参照データ!$D$88:$O$117,12,0),""))</f>
        <v/>
      </c>
      <c r="AJ37" s="388"/>
      <c r="AK37" s="511"/>
      <c r="AL37" s="346" t="str">
        <f t="shared" si="3"/>
        <v/>
      </c>
      <c r="AM37" s="392"/>
      <c r="AN37" s="391"/>
      <c r="AO37" s="391"/>
      <c r="AP37" s="447"/>
      <c r="AQ37" s="321"/>
      <c r="AR37" s="481"/>
      <c r="AS37" s="393"/>
      <c r="AT37" s="483"/>
      <c r="AU37" s="393"/>
      <c r="AV37" s="529"/>
      <c r="AW37" s="483"/>
      <c r="AZ37">
        <f t="shared" si="50"/>
        <v>0</v>
      </c>
      <c r="BA37" t="str">
        <f t="shared" si="35"/>
        <v/>
      </c>
      <c r="BB37" s="132"/>
      <c r="BD37" s="513" t="str">
        <f t="shared" si="4"/>
        <v/>
      </c>
      <c r="BE37" s="53" t="str">
        <f>IF($AZ37=0,"",IF(AND($I37&gt;=6,$I37&lt;=19),VLOOKUP($I37,参照データ!$B$24:$C$37,2,0),IF($I37&lt;6,6,19)))</f>
        <v/>
      </c>
      <c r="BF37" s="155" t="str">
        <f>IF($J37="○",VLOOKUP($BE37,参照データ!$C$24:$I$37,2,0),"")</f>
        <v/>
      </c>
      <c r="BG37" s="146" t="str">
        <f>IF($K37="○",VLOOKUP($BE37,参照データ!$C$24:$I$37,3,0),"")</f>
        <v/>
      </c>
      <c r="BH37" s="146" t="str">
        <f>IF($L37="○",VLOOKUP($BE37,参照データ!$C$24:$I$37,4,0),"")</f>
        <v/>
      </c>
      <c r="BI37" s="146" t="str">
        <f>IF($M37="○",VLOOKUP($BE37,参照データ!$C$24:$I$37,5,0),"")</f>
        <v/>
      </c>
      <c r="BJ37" s="146" t="str">
        <f>IF($N37="20日",VLOOKUP($BE37,参照データ!$C$24:$I$37,6,0),"")</f>
        <v/>
      </c>
      <c r="BK37" s="156" t="str">
        <f>IF($O37="20日",VLOOKUP($BE37,参照データ!$C$24:$I$37,7,0),"")</f>
        <v/>
      </c>
      <c r="BL37" s="155" t="str">
        <f>IF($J37="21日",VLOOKUP($BE37,参照データ!$C$24:$I$37,2,0),"")</f>
        <v/>
      </c>
      <c r="BM37" s="146" t="str">
        <f>IF($K37="21日",VLOOKUP($BE37,参照データ!$C$24:$I$37,3,0),"")</f>
        <v/>
      </c>
      <c r="BN37" s="146" t="str">
        <f>IF($L37="21日",VLOOKUP($BE37,参照データ!$C$24:$I$37,4,0),"")</f>
        <v/>
      </c>
      <c r="BO37" s="146" t="str">
        <f>IF($M37="21日",VLOOKUP($BE37,参照データ!$C$24:$I$37,5,0),"")</f>
        <v/>
      </c>
      <c r="BP37" s="146" t="str">
        <f>IF($N37="21日",VLOOKUP($BE37,参照データ!$C$24:$I$37,6,0),"")</f>
        <v/>
      </c>
      <c r="BQ37" s="156" t="str">
        <f>IF($O37="21日",VLOOKUP($BE37,参照データ!$C$24:$I$37,7,0),"")</f>
        <v/>
      </c>
      <c r="BR37" s="223" t="str">
        <f t="shared" si="42"/>
        <v/>
      </c>
      <c r="BS37" s="154" t="str">
        <f>IF($R37="入門",VLOOKUP($BE37,参照データ!$C$43:$U$56,2,0),IF($R37="初級",VLOOKUP($BE37,参照データ!$C$43:$U$56,3,0),IF($R37="中級",VLOOKUP($BE37,参照データ!$C$43:$U$56,4,0),IF($R37="上級",VLOOKUP($BE37,参照データ!$C$43:$U$56,5,0),""))))</f>
        <v/>
      </c>
      <c r="BT37" s="154" t="str">
        <f>IF($S37="初級",VLOOKUP($BE37,参照データ!$C$43:$U$56,6,0),IF($S37="中級",VLOOKUP($BE37,参照データ!$C$43:$U$56,7,0),IF($S37="上級",VLOOKUP($BE37,参照データ!$C$43:$U$56,8,0),"")))</f>
        <v/>
      </c>
      <c r="BU37" s="154" t="str">
        <f>IF($T37="初級",VLOOKUP($BE37,参照データ!$C$43:$U$56,9,0),IF($T37="上級",VLOOKUP($BE37,参照データ!$C$43:$U$56,10,0),""))</f>
        <v/>
      </c>
      <c r="BV37" s="154" t="str">
        <f>IF($U37="初級",VLOOKUP($BE37,参照データ!$C$43:$U$56,11,0),IF($U37="中級",VLOOKUP($BE37,参照データ!$C$43:$U$56,12,0),IF($U37="上級",VLOOKUP($BE37,参照データ!$C$43:$U$56,13,0),"")))</f>
        <v/>
      </c>
      <c r="BW37" s="154" t="str">
        <f>IF($V37="初級",VLOOKUP($BE37,参照データ!$C$43:$U$56,14,0),IF($V37="中級",VLOOKUP($BE37,参照データ!$C$43:$U$56,15,0),IF($V37="上級",VLOOKUP($BE37,参照データ!$C$43:$U$56,16,0),"")))</f>
        <v/>
      </c>
      <c r="BX37" s="47" t="str">
        <f t="shared" si="5"/>
        <v/>
      </c>
      <c r="BY37" s="47" t="str">
        <f>IF($W37="初級",VLOOKUP($BE37,参照データ!$C$43:$U$56,17,0),IF($W37="中級",VLOOKUP($BE37,参照データ!$C$43:$U$56,18,0),IF($W37="上級",VLOOKUP($BE37,参照データ!$C$43:$U$56,19,0),"")))</f>
        <v/>
      </c>
      <c r="BZ37" s="687"/>
      <c r="CA37" s="65" t="s">
        <v>249</v>
      </c>
      <c r="CB37" s="135" t="str">
        <f t="shared" si="13"/>
        <v/>
      </c>
      <c r="CC37" s="689"/>
      <c r="CE37" s="53" t="str">
        <f>IF(AND($AZ37&gt;=参照データ!$C$67,$AZ37&lt;=参照データ!$C$65),1,IF(AND($AZ37&gt;=参照データ!$C$70,$AZ37&lt;=参照データ!$C$68),2,IF(AND($AZ37&gt;=参照データ!$C$73,$AZ37&lt;=参照データ!$C$71),3,IF(AND($AZ37&gt;=参照データ!$C$76,$AZ37&lt;=参照データ!$C$74),4,IF(AND($AZ37&gt;=参照データ!$C$79,$AZ37&lt;=参照データ!$C$77),5,IF(AND($AZ37&gt;0,$AZ37&lt;=参照データ!$C$80),6,""))))))</f>
        <v/>
      </c>
      <c r="CF37" s="141" t="str">
        <f>IF($Z37="○",(VLOOKUP($CE37,参照データ!$D$65:$J$82,2,0)),"")</f>
        <v/>
      </c>
      <c r="CG37" s="71" t="str">
        <f t="shared" si="14"/>
        <v/>
      </c>
      <c r="CH37" s="70" t="str">
        <f>IF($AB37="○",(VLOOKUP($CE37,参照データ!$D$65:$J$82,3,0)),"")</f>
        <v/>
      </c>
      <c r="CI37" s="71" t="str">
        <f t="shared" si="15"/>
        <v/>
      </c>
      <c r="CJ37" s="70" t="str">
        <f>IF($AD37="○",(VLOOKUP($CE37,参照データ!$D$65:$J$82,4,0)),"")</f>
        <v/>
      </c>
      <c r="CK37" s="71" t="str">
        <f t="shared" si="16"/>
        <v/>
      </c>
      <c r="CL37" s="70" t="str">
        <f>IF($AF37="○",(VLOOKUP($CE37,参照データ!$D$65:$J$82,5,0)),"")</f>
        <v/>
      </c>
      <c r="CM37" s="71" t="str">
        <f t="shared" si="6"/>
        <v/>
      </c>
      <c r="CN37" s="70" t="str">
        <f>IF($AH37="○",(VLOOKUP($CE37,参照データ!$D$65:$J$82,6,0)),"")</f>
        <v/>
      </c>
      <c r="CO37" s="71" t="str">
        <f t="shared" si="17"/>
        <v/>
      </c>
      <c r="CP37" s="33" t="str">
        <f t="shared" si="18"/>
        <v/>
      </c>
      <c r="CQ37" s="32" t="str">
        <f t="shared" si="19"/>
        <v/>
      </c>
      <c r="CR37" s="71" t="str">
        <f t="shared" si="20"/>
        <v/>
      </c>
      <c r="CS37" s="682"/>
      <c r="CT37" s="77" t="s">
        <v>110</v>
      </c>
      <c r="CU37" s="78" t="str">
        <f t="shared" si="21"/>
        <v/>
      </c>
      <c r="CV37" s="684"/>
      <c r="CW37" s="308" t="str">
        <f t="shared" ref="CW37" si="73">$CW36</f>
        <v/>
      </c>
      <c r="CX37" s="70"/>
      <c r="CY37" s="172" t="str">
        <f t="shared" si="22"/>
        <v/>
      </c>
      <c r="DA37" s="32"/>
      <c r="DB37" s="161" t="str">
        <f t="shared" si="23"/>
        <v/>
      </c>
      <c r="DC37" s="744"/>
      <c r="DD37" s="164" t="s">
        <v>110</v>
      </c>
      <c r="DE37" s="165" t="str">
        <f t="shared" si="44"/>
        <v/>
      </c>
      <c r="DF37" s="742"/>
      <c r="DG37" t="str">
        <f>IF($DH37="","",DATEDIF($AZ37,参照データ!$D$19,"Y"))</f>
        <v/>
      </c>
      <c r="DH37" s="253" t="str">
        <f>IFERROR(IF($BA37="男子",VLOOKUP($DO37,参照データ!$D$88:$E$117,2,0),$DO37),0)</f>
        <v/>
      </c>
      <c r="DI37" s="84" t="str">
        <f>IF($Z37="選手権",(VLOOKUP($DH37,参照データ!$D$88:$K$117,3,0)),"")</f>
        <v/>
      </c>
      <c r="DJ37" s="85" t="str">
        <f t="shared" si="7"/>
        <v/>
      </c>
      <c r="DK37" s="84" t="str">
        <f>IF($AB37="選手権",(VLOOKUP($DH37,参照データ!$D$88:$K$117,4,0)),"")</f>
        <v/>
      </c>
      <c r="DL37" s="85" t="str">
        <f t="shared" si="8"/>
        <v/>
      </c>
      <c r="DM37" s="84" t="str">
        <f>IF($AD37="選手権",(VLOOKUP($DH37,参照データ!$D$88:$K$117,5,0)),"")</f>
        <v/>
      </c>
      <c r="DN37" s="85" t="str">
        <f t="shared" si="9"/>
        <v/>
      </c>
      <c r="DO37" s="53" t="str">
        <f>IF(AND($AZ37&gt;=参照データ!$C$90,$AZ37&lt;=参照データ!$C$88),1,IF(AND($AZ37&gt;=参照データ!$C$93,$AZ37&lt;=参照データ!$C$91),2,IF(AND($AZ37&gt;=参照データ!$C$99,$AZ37&lt;=参照データ!$C$97),3,IF(AND($AZ37&gt;=参照データ!$C$105,$AZ37&lt;=参照データ!$C$103),4,IF(AND($AZ37&gt;=参照データ!$C$111,$AZ37&lt;=参照データ!$C$109),5,IF(AND($AZ37&gt;0,$AZ37&lt;=参照データ!$C$112),6,""))))))</f>
        <v/>
      </c>
      <c r="DP37" s="84" t="str">
        <f>IF($AF37="選手権",(VLOOKUP($DO37,参照データ!$D$88:$K$117,6,0)),"")</f>
        <v/>
      </c>
      <c r="DQ37" s="85" t="str">
        <f t="shared" si="10"/>
        <v/>
      </c>
      <c r="DR37" s="84" t="str">
        <f>IF($AH37="選手権",(VLOOKUP($DO37,参照データ!$D$88:$K$117,7,0)),"")</f>
        <v/>
      </c>
      <c r="DS37" s="85" t="str">
        <f t="shared" si="24"/>
        <v/>
      </c>
      <c r="DT37" s="33" t="str">
        <f t="shared" si="25"/>
        <v/>
      </c>
      <c r="DU37" s="32" t="str">
        <f t="shared" si="26"/>
        <v/>
      </c>
      <c r="DV37" s="85" t="str">
        <f t="shared" si="27"/>
        <v/>
      </c>
      <c r="DW37" s="733"/>
      <c r="DX37" s="91" t="s">
        <v>110</v>
      </c>
      <c r="DY37" s="92" t="str">
        <f t="shared" si="37"/>
        <v/>
      </c>
      <c r="DZ37" s="735"/>
      <c r="EA37" s="312" t="str">
        <f t="shared" si="65"/>
        <v/>
      </c>
      <c r="EC37" s="491" t="str">
        <f t="shared" si="28"/>
        <v/>
      </c>
      <c r="EH37" s="35">
        <f>(COUNTIF($J37:$O37,"&lt;&gt;"))*参照データ!$E$3</f>
        <v>0</v>
      </c>
      <c r="EI37" s="219" t="str">
        <f>IF(P37="○",参照データ!$E$5,"")</f>
        <v/>
      </c>
      <c r="EJ37" s="219" t="str">
        <f>IF($Y37="○",参照データ!$E$4,"")</f>
        <v/>
      </c>
      <c r="EK37" s="18">
        <f>(SUM(COUNTIF($R37:$V37,{"入門","初級"}))*参照データ!$E$9)+(SUM(COUNTIF($R37:$V37,{"中級","上級"})*参照データ!$E$10))</f>
        <v>0</v>
      </c>
      <c r="EL37" s="18">
        <f>IFERROR(VLOOKUP($W37,参照データ!$D$9:$J$11,7,0),0)</f>
        <v>0</v>
      </c>
      <c r="EM37" s="18">
        <f>((COUNTIF($Z37:$AH37,"○"))*参照データ!$E$12)</f>
        <v>0</v>
      </c>
      <c r="EN37" s="18" t="str">
        <f>(IF($AJ37="○",参照データ!$J$12,""))</f>
        <v/>
      </c>
      <c r="EQ37" s="18">
        <f>((COUNTIF($Z37:$AH37,"選手権"))*参照データ!$E$13)</f>
        <v>0</v>
      </c>
      <c r="ER37" s="18" t="str">
        <f>(IF($AJ37="選手権",参照データ!$J$13,""))</f>
        <v/>
      </c>
      <c r="ES37" s="18">
        <f>(COUNTIF($AQ37:$AR37,"&lt;&gt;"))*参照データ!$H$3</f>
        <v>0</v>
      </c>
      <c r="ET37" s="18"/>
      <c r="EU37" s="18" t="str">
        <f>IF(AV37&lt;&gt;"",参照データ!$H$15,"")</f>
        <v/>
      </c>
      <c r="EV37" s="98" cm="1">
        <f t="array" ref="EV37">SUM(IF(ISERROR(EH37:EU37),0,(EH37:EU37)))</f>
        <v>0</v>
      </c>
      <c r="EW37" s="18"/>
      <c r="EX37" s="18">
        <f t="shared" si="11"/>
        <v>0</v>
      </c>
      <c r="EY37" s="18">
        <f t="shared" si="29"/>
        <v>0</v>
      </c>
      <c r="EZ37" s="18">
        <f t="shared" si="38"/>
        <v>0</v>
      </c>
      <c r="FA37" s="18">
        <f t="shared" si="30"/>
        <v>0</v>
      </c>
      <c r="FB37" s="18">
        <f t="shared" si="31"/>
        <v>0</v>
      </c>
      <c r="FC37" s="18">
        <f t="shared" si="32"/>
        <v>0</v>
      </c>
      <c r="FD37" s="18">
        <f t="shared" si="12"/>
        <v>0</v>
      </c>
      <c r="FE37" t="str">
        <f t="shared" si="33"/>
        <v/>
      </c>
    </row>
    <row r="38" spans="1:161" ht="18.75" customHeight="1" x14ac:dyDescent="0.2">
      <c r="A38">
        <v>27</v>
      </c>
      <c r="B38" s="14" t="str">
        <f>IF(D38="","",IF(D38="重複","",COUNTIF(B$12:$B37,"&gt;0")+1))</f>
        <v/>
      </c>
      <c r="C38" s="464"/>
      <c r="D38" s="177"/>
      <c r="E38" s="177"/>
      <c r="F38" s="31"/>
      <c r="G38" s="41"/>
      <c r="H38" s="351">
        <f t="shared" si="34"/>
        <v>0</v>
      </c>
      <c r="I38" s="193" t="str">
        <f>IF($AZ38=0,"",DATEDIF($AZ38,参照データ!$D$16,"Y"))</f>
        <v/>
      </c>
      <c r="J38" s="36"/>
      <c r="K38" s="36"/>
      <c r="L38" s="36"/>
      <c r="M38" s="36"/>
      <c r="N38" s="36"/>
      <c r="O38" s="42"/>
      <c r="P38" s="345"/>
      <c r="Q38" s="345"/>
      <c r="R38" s="43"/>
      <c r="S38" s="244"/>
      <c r="T38" s="244"/>
      <c r="U38" s="244"/>
      <c r="V38" s="245"/>
      <c r="W38" s="248"/>
      <c r="X38" s="250"/>
      <c r="Y38" s="345"/>
      <c r="Z38" s="388"/>
      <c r="AA38" s="346" t="str">
        <f>IF($Z38="○",VLOOKUP($CE38,参照データ!$D$65:$M$82,9,0),IF($Z38="選手権",VLOOKUP($DH38,参照データ!$D$88:$O$117,10,0),""))</f>
        <v/>
      </c>
      <c r="AB38" s="388"/>
      <c r="AC38" s="346" t="str">
        <f>IF($AB38="○",VLOOKUP($CE38,参照データ!$D$65:$M$82,10,0),IF($AB38="選手権",VLOOKUP($DH38,参照データ!$D$88:$O$117,11,0),""))</f>
        <v/>
      </c>
      <c r="AD38" s="388"/>
      <c r="AE38" s="346" t="str">
        <f>IF($AD38="○",VLOOKUP($CE38,参照データ!$D$65:$M$82,10,0),IF($AD38="選手権",VLOOKUP($DH38,参照データ!$D$88:$O$117,11,0),""))</f>
        <v/>
      </c>
      <c r="AF38" s="388"/>
      <c r="AG38" s="346" t="str">
        <f>IF($AF38="○",VLOOKUP($CE38,参照データ!$D$65:$M$82,10,0),IF($AF38="選手権",VLOOKUP($DO38,参照データ!$D$88:$O$117,12,0),""))</f>
        <v/>
      </c>
      <c r="AH38" s="388"/>
      <c r="AI38" s="346" t="str">
        <f>IF($AH38="○",VLOOKUP($CE38,参照データ!$D$65:$M$82,10,0),IF($AH38="選手権",VLOOKUP($DO38,参照データ!$D$88:$O$117,12,0),""))</f>
        <v/>
      </c>
      <c r="AJ38" s="388"/>
      <c r="AK38" s="511"/>
      <c r="AL38" s="346" t="str">
        <f t="shared" si="3"/>
        <v/>
      </c>
      <c r="AM38" s="392"/>
      <c r="AN38" s="391"/>
      <c r="AO38" s="391"/>
      <c r="AP38" s="447"/>
      <c r="AQ38" s="321"/>
      <c r="AR38" s="481"/>
      <c r="AS38" s="393"/>
      <c r="AT38" s="483"/>
      <c r="AU38" s="393"/>
      <c r="AV38" s="529"/>
      <c r="AW38" s="483"/>
      <c r="AZ38">
        <f t="shared" si="50"/>
        <v>0</v>
      </c>
      <c r="BA38" t="str">
        <f t="shared" si="35"/>
        <v/>
      </c>
      <c r="BB38" s="132"/>
      <c r="BD38" s="513" t="str">
        <f t="shared" si="4"/>
        <v/>
      </c>
      <c r="BE38" s="53" t="str">
        <f>IF($AZ38=0,"",IF(AND($I38&gt;=6,$I38&lt;=19),VLOOKUP($I38,参照データ!$B$24:$C$37,2,0),IF($I38&lt;6,6,19)))</f>
        <v/>
      </c>
      <c r="BF38" s="155" t="str">
        <f>IF($J38="○",VLOOKUP($BE38,参照データ!$C$24:$I$37,2,0),"")</f>
        <v/>
      </c>
      <c r="BG38" s="146" t="str">
        <f>IF($K38="○",VLOOKUP($BE38,参照データ!$C$24:$I$37,3,0),"")</f>
        <v/>
      </c>
      <c r="BH38" s="146" t="str">
        <f>IF($L38="○",VLOOKUP($BE38,参照データ!$C$24:$I$37,4,0),"")</f>
        <v/>
      </c>
      <c r="BI38" s="146" t="str">
        <f>IF($M38="○",VLOOKUP($BE38,参照データ!$C$24:$I$37,5,0),"")</f>
        <v/>
      </c>
      <c r="BJ38" s="146" t="str">
        <f>IF($N38="20日",VLOOKUP($BE38,参照データ!$C$24:$I$37,6,0),"")</f>
        <v/>
      </c>
      <c r="BK38" s="156" t="str">
        <f>IF($O38="20日",VLOOKUP($BE38,参照データ!$C$24:$I$37,7,0),"")</f>
        <v/>
      </c>
      <c r="BL38" s="155" t="str">
        <f>IF($J38="21日",VLOOKUP($BE38,参照データ!$C$24:$I$37,2,0),"")</f>
        <v/>
      </c>
      <c r="BM38" s="146" t="str">
        <f>IF($K38="21日",VLOOKUP($BE38,参照データ!$C$24:$I$37,3,0),"")</f>
        <v/>
      </c>
      <c r="BN38" s="146" t="str">
        <f>IF($L38="21日",VLOOKUP($BE38,参照データ!$C$24:$I$37,4,0),"")</f>
        <v/>
      </c>
      <c r="BO38" s="146" t="str">
        <f>IF($M38="21日",VLOOKUP($BE38,参照データ!$C$24:$I$37,5,0),"")</f>
        <v/>
      </c>
      <c r="BP38" s="146" t="str">
        <f>IF($N38="21日",VLOOKUP($BE38,参照データ!$C$24:$I$37,6,0),"")</f>
        <v/>
      </c>
      <c r="BQ38" s="156" t="str">
        <f>IF($O38="21日",VLOOKUP($BE38,参照データ!$C$24:$I$37,7,0),"")</f>
        <v/>
      </c>
      <c r="BR38" s="223" t="str">
        <f t="shared" si="42"/>
        <v/>
      </c>
      <c r="BS38" s="154" t="str">
        <f>IF($R38="入門",VLOOKUP($BE38,参照データ!$C$43:$U$56,2,0),IF($R38="初級",VLOOKUP($BE38,参照データ!$C$43:$U$56,3,0),IF($R38="中級",VLOOKUP($BE38,参照データ!$C$43:$U$56,4,0),IF($R38="上級",VLOOKUP($BE38,参照データ!$C$43:$U$56,5,0),""))))</f>
        <v/>
      </c>
      <c r="BT38" s="154" t="str">
        <f>IF($S38="初級",VLOOKUP($BE38,参照データ!$C$43:$U$56,6,0),IF($S38="中級",VLOOKUP($BE38,参照データ!$C$43:$U$56,7,0),IF($S38="上級",VLOOKUP($BE38,参照データ!$C$43:$U$56,8,0),"")))</f>
        <v/>
      </c>
      <c r="BU38" s="154" t="str">
        <f>IF($T38="初級",VLOOKUP($BE38,参照データ!$C$43:$U$56,9,0),IF($T38="上級",VLOOKUP($BE38,参照データ!$C$43:$U$56,10,0),""))</f>
        <v/>
      </c>
      <c r="BV38" s="154" t="str">
        <f>IF($U38="初級",VLOOKUP($BE38,参照データ!$C$43:$U$56,11,0),IF($U38="中級",VLOOKUP($BE38,参照データ!$C$43:$U$56,12,0),IF($U38="上級",VLOOKUP($BE38,参照データ!$C$43:$U$56,13,0),"")))</f>
        <v/>
      </c>
      <c r="BW38" s="154" t="str">
        <f>IF($V38="初級",VLOOKUP($BE38,参照データ!$C$43:$U$56,14,0),IF($V38="中級",VLOOKUP($BE38,参照データ!$C$43:$U$56,15,0),IF($V38="上級",VLOOKUP($BE38,参照データ!$C$43:$U$56,16,0),"")))</f>
        <v/>
      </c>
      <c r="BX38" s="47" t="str">
        <f t="shared" si="5"/>
        <v/>
      </c>
      <c r="BY38" s="47" t="str">
        <f>IF($W38="初級",VLOOKUP($BE38,参照データ!$C$43:$U$56,17,0),IF($W38="中級",VLOOKUP($BE38,参照データ!$C$43:$U$56,18,0),IF($W38="上級",VLOOKUP($BE38,参照データ!$C$43:$U$56,19,0),"")))</f>
        <v/>
      </c>
      <c r="BZ38" s="686">
        <v>14</v>
      </c>
      <c r="CA38" s="66" t="s">
        <v>250</v>
      </c>
      <c r="CB38" s="136" t="str">
        <f t="shared" si="13"/>
        <v/>
      </c>
      <c r="CC38" s="688" t="str">
        <f t="shared" ref="CC38" si="74">IF(OR($CB38="",$CB39=""),"",IF($CB38&gt;$CB39,$CB38,$CB39))</f>
        <v/>
      </c>
      <c r="CE38" s="53" t="str">
        <f>IF(AND($AZ38&gt;=参照データ!$C$67,$AZ38&lt;=参照データ!$C$65),1,IF(AND($AZ38&gt;=参照データ!$C$70,$AZ38&lt;=参照データ!$C$68),2,IF(AND($AZ38&gt;=参照データ!$C$73,$AZ38&lt;=参照データ!$C$71),3,IF(AND($AZ38&gt;=参照データ!$C$76,$AZ38&lt;=参照データ!$C$74),4,IF(AND($AZ38&gt;=参照データ!$C$79,$AZ38&lt;=参照データ!$C$77),5,IF(AND($AZ38&gt;0,$AZ38&lt;=参照データ!$C$80),6,""))))))</f>
        <v/>
      </c>
      <c r="CF38" s="141" t="str">
        <f>IF($Z38="○",(VLOOKUP($CE38,参照データ!$D$65:$J$82,2,0)),"")</f>
        <v/>
      </c>
      <c r="CG38" s="71" t="str">
        <f t="shared" si="14"/>
        <v/>
      </c>
      <c r="CH38" s="70" t="str">
        <f>IF($AB38="○",(VLOOKUP($CE38,参照データ!$D$65:$J$82,3,0)),"")</f>
        <v/>
      </c>
      <c r="CI38" s="71" t="str">
        <f t="shared" si="15"/>
        <v/>
      </c>
      <c r="CJ38" s="70" t="str">
        <f>IF($AD38="○",(VLOOKUP($CE38,参照データ!$D$65:$J$82,4,0)),"")</f>
        <v/>
      </c>
      <c r="CK38" s="71" t="str">
        <f t="shared" si="16"/>
        <v/>
      </c>
      <c r="CL38" s="70" t="str">
        <f>IF($AF38="○",(VLOOKUP($CE38,参照データ!$D$65:$J$82,5,0)),"")</f>
        <v/>
      </c>
      <c r="CM38" s="71" t="str">
        <f t="shared" si="6"/>
        <v/>
      </c>
      <c r="CN38" s="70" t="str">
        <f>IF($AH38="○",(VLOOKUP($CE38,参照データ!$D$65:$J$82,6,0)),"")</f>
        <v/>
      </c>
      <c r="CO38" s="71" t="str">
        <f t="shared" si="17"/>
        <v/>
      </c>
      <c r="CP38" s="33" t="str">
        <f t="shared" si="18"/>
        <v/>
      </c>
      <c r="CQ38" s="32" t="str">
        <f t="shared" si="19"/>
        <v/>
      </c>
      <c r="CR38" s="71" t="str">
        <f t="shared" si="20"/>
        <v/>
      </c>
      <c r="CS38" s="681">
        <v>14</v>
      </c>
      <c r="CT38" s="79" t="s">
        <v>111</v>
      </c>
      <c r="CU38" s="80" t="str">
        <f t="shared" si="21"/>
        <v/>
      </c>
      <c r="CV38" s="683" t="e">
        <f>IF($CU38&gt;$CU39,VLOOKUP($CU38,参照データ!$D$65:$J$82,7,0),VLOOKUP($CU39,参照データ!$D$65:$J$82,7,0))</f>
        <v>#N/A</v>
      </c>
      <c r="CW38" s="308" t="str">
        <f>IFERROR(VLOOKUP($CV38,参照データ!$J$65:$M$82,4,0),"")</f>
        <v/>
      </c>
      <c r="CX38" s="70"/>
      <c r="CY38" s="172" t="str">
        <f t="shared" si="22"/>
        <v/>
      </c>
      <c r="DA38" s="32"/>
      <c r="DB38" s="161" t="str">
        <f t="shared" si="23"/>
        <v/>
      </c>
      <c r="DC38" s="743">
        <v>14</v>
      </c>
      <c r="DD38" s="166" t="s">
        <v>111</v>
      </c>
      <c r="DE38" s="167" t="str">
        <f t="shared" si="44"/>
        <v/>
      </c>
      <c r="DF38" s="741" t="str">
        <f>IF(OR(DE38="",DE39=""),"",IF(DE38&gt;DE39,DE38,DE39))</f>
        <v/>
      </c>
      <c r="DG38" t="str">
        <f>IF($DH38="","",DATEDIF($AZ38,参照データ!$D$19,"Y"))</f>
        <v/>
      </c>
      <c r="DH38" s="253" t="str">
        <f>IFERROR(IF($BA38="男子",VLOOKUP($DO38,参照データ!$D$88:$E$117,2,0),$DO38),0)</f>
        <v/>
      </c>
      <c r="DI38" s="84" t="str">
        <f>IF($Z38="選手権",(VLOOKUP($DH38,参照データ!$D$88:$K$117,3,0)),"")</f>
        <v/>
      </c>
      <c r="DJ38" s="85" t="str">
        <f t="shared" si="7"/>
        <v/>
      </c>
      <c r="DK38" s="84" t="str">
        <f>IF($AB38="選手権",(VLOOKUP($DH38,参照データ!$D$88:$K$117,4,0)),"")</f>
        <v/>
      </c>
      <c r="DL38" s="85" t="str">
        <f t="shared" si="8"/>
        <v/>
      </c>
      <c r="DM38" s="84" t="str">
        <f>IF($AD38="選手権",(VLOOKUP($DH38,参照データ!$D$88:$K$117,5,0)),"")</f>
        <v/>
      </c>
      <c r="DN38" s="85" t="str">
        <f t="shared" si="9"/>
        <v/>
      </c>
      <c r="DO38" s="53" t="str">
        <f>IF(AND($AZ38&gt;=参照データ!$C$90,$AZ38&lt;=参照データ!$C$88),1,IF(AND($AZ38&gt;=参照データ!$C$93,$AZ38&lt;=参照データ!$C$91),2,IF(AND($AZ38&gt;=参照データ!$C$99,$AZ38&lt;=参照データ!$C$97),3,IF(AND($AZ38&gt;=参照データ!$C$105,$AZ38&lt;=参照データ!$C$103),4,IF(AND($AZ38&gt;=参照データ!$C$111,$AZ38&lt;=参照データ!$C$109),5,IF(AND($AZ38&gt;0,$AZ38&lt;=参照データ!$C$112),6,""))))))</f>
        <v/>
      </c>
      <c r="DP38" s="84" t="str">
        <f>IF($AF38="選手権",(VLOOKUP($DO38,参照データ!$D$88:$K$117,6,0)),"")</f>
        <v/>
      </c>
      <c r="DQ38" s="85" t="str">
        <f t="shared" si="10"/>
        <v/>
      </c>
      <c r="DR38" s="84" t="str">
        <f>IF($AH38="選手権",(VLOOKUP($DO38,参照データ!$D$88:$K$117,7,0)),"")</f>
        <v/>
      </c>
      <c r="DS38" s="85" t="str">
        <f t="shared" si="24"/>
        <v/>
      </c>
      <c r="DT38" s="33" t="str">
        <f t="shared" si="25"/>
        <v/>
      </c>
      <c r="DU38" s="32" t="str">
        <f t="shared" si="26"/>
        <v/>
      </c>
      <c r="DV38" s="85" t="str">
        <f t="shared" si="27"/>
        <v/>
      </c>
      <c r="DW38" s="736">
        <v>14</v>
      </c>
      <c r="DX38" s="93" t="s">
        <v>111</v>
      </c>
      <c r="DY38" s="94" t="str">
        <f t="shared" si="37"/>
        <v/>
      </c>
      <c r="DZ38" s="737" t="e">
        <f>IF($DY38&gt;$DY39,VLOOKUP($DY38,参照データ!$D$88:$K$117,8,0),VLOOKUP($DY39,参照データ!$D$88:$K$117,8,0))</f>
        <v>#N/A</v>
      </c>
      <c r="EA38" s="312" t="str">
        <f>IFERROR(VLOOKUP($DZ38,参照データ!$K$88:$O$117,5,0),"")</f>
        <v/>
      </c>
      <c r="EC38" s="491" t="str">
        <f t="shared" si="28"/>
        <v/>
      </c>
      <c r="EH38" s="35">
        <f>(COUNTIF($J38:$O38,"&lt;&gt;"))*参照データ!$E$3</f>
        <v>0</v>
      </c>
      <c r="EI38" s="219" t="str">
        <f>IF(P38="○",参照データ!$E$5,"")</f>
        <v/>
      </c>
      <c r="EJ38" s="219" t="str">
        <f>IF($Y38="○",参照データ!$E$4,"")</f>
        <v/>
      </c>
      <c r="EK38" s="18">
        <f>(SUM(COUNTIF($R38:$V38,{"入門","初級"}))*参照データ!$E$9)+(SUM(COUNTIF($R38:$V38,{"中級","上級"})*参照データ!$E$10))</f>
        <v>0</v>
      </c>
      <c r="EL38" s="18">
        <f>IFERROR(VLOOKUP($W38,参照データ!$D$9:$J$11,7,0),0)</f>
        <v>0</v>
      </c>
      <c r="EM38" s="18">
        <f>((COUNTIF($Z38:$AH38,"○"))*参照データ!$E$12)</f>
        <v>0</v>
      </c>
      <c r="EN38" s="18" t="str">
        <f>(IF($AJ38="○",参照データ!$J$12,""))</f>
        <v/>
      </c>
      <c r="EQ38" s="18">
        <f>((COUNTIF($Z38:$AH38,"選手権"))*参照データ!$E$13)</f>
        <v>0</v>
      </c>
      <c r="ER38" s="18" t="str">
        <f>(IF($AJ38="選手権",参照データ!$J$13,""))</f>
        <v/>
      </c>
      <c r="ES38" s="18">
        <f>(COUNTIF($AQ38:$AR38,"&lt;&gt;"))*参照データ!$H$3</f>
        <v>0</v>
      </c>
      <c r="ET38" s="18"/>
      <c r="EU38" s="18" t="str">
        <f>IF(AV38&lt;&gt;"",参照データ!$H$15,"")</f>
        <v/>
      </c>
      <c r="EV38" s="98" cm="1">
        <f t="array" ref="EV38">SUM(IF(ISERROR(EH38:EU38),0,(EH38:EU38)))</f>
        <v>0</v>
      </c>
      <c r="EW38" s="18"/>
      <c r="EX38" s="18">
        <f t="shared" si="11"/>
        <v>0</v>
      </c>
      <c r="EY38" s="18">
        <f t="shared" si="29"/>
        <v>0</v>
      </c>
      <c r="EZ38" s="18">
        <f t="shared" si="38"/>
        <v>0</v>
      </c>
      <c r="FA38" s="18">
        <f t="shared" si="30"/>
        <v>0</v>
      </c>
      <c r="FB38" s="18">
        <f t="shared" si="31"/>
        <v>0</v>
      </c>
      <c r="FC38" s="18">
        <f t="shared" si="32"/>
        <v>0</v>
      </c>
      <c r="FD38" s="18">
        <f t="shared" si="12"/>
        <v>0</v>
      </c>
      <c r="FE38" t="str">
        <f t="shared" si="33"/>
        <v/>
      </c>
    </row>
    <row r="39" spans="1:161" ht="18.75" customHeight="1" x14ac:dyDescent="0.2">
      <c r="A39">
        <v>28</v>
      </c>
      <c r="B39" s="14" t="str">
        <f>IF(D39="","",IF(D39="重複","",COUNTIF(B$12:$B38,"&gt;0")+1))</f>
        <v/>
      </c>
      <c r="C39" s="464"/>
      <c r="D39" s="177"/>
      <c r="E39" s="177"/>
      <c r="F39" s="31"/>
      <c r="G39" s="41"/>
      <c r="H39" s="351">
        <f t="shared" si="34"/>
        <v>0</v>
      </c>
      <c r="I39" s="193" t="str">
        <f>IF($AZ39=0,"",DATEDIF($AZ39,参照データ!$D$16,"Y"))</f>
        <v/>
      </c>
      <c r="J39" s="36"/>
      <c r="K39" s="36"/>
      <c r="L39" s="36"/>
      <c r="M39" s="36"/>
      <c r="N39" s="36"/>
      <c r="O39" s="42"/>
      <c r="P39" s="345"/>
      <c r="Q39" s="345"/>
      <c r="R39" s="43"/>
      <c r="S39" s="244"/>
      <c r="T39" s="244"/>
      <c r="U39" s="244"/>
      <c r="V39" s="245"/>
      <c r="W39" s="248"/>
      <c r="X39" s="250"/>
      <c r="Y39" s="345"/>
      <c r="Z39" s="388"/>
      <c r="AA39" s="346" t="str">
        <f>IF($Z39="○",VLOOKUP($CE39,参照データ!$D$65:$M$82,9,0),IF($Z39="選手権",VLOOKUP($DH39,参照データ!$D$88:$O$117,10,0),""))</f>
        <v/>
      </c>
      <c r="AB39" s="388"/>
      <c r="AC39" s="346" t="str">
        <f>IF($AB39="○",VLOOKUP($CE39,参照データ!$D$65:$M$82,10,0),IF($AB39="選手権",VLOOKUP($DH39,参照データ!$D$88:$O$117,11,0),""))</f>
        <v/>
      </c>
      <c r="AD39" s="388"/>
      <c r="AE39" s="346" t="str">
        <f>IF($AD39="○",VLOOKUP($CE39,参照データ!$D$65:$M$82,10,0),IF($AD39="選手権",VLOOKUP($DH39,参照データ!$D$88:$O$117,11,0),""))</f>
        <v/>
      </c>
      <c r="AF39" s="388"/>
      <c r="AG39" s="346" t="str">
        <f>IF($AF39="○",VLOOKUP($CE39,参照データ!$D$65:$M$82,10,0),IF($AF39="選手権",VLOOKUP($DO39,参照データ!$D$88:$O$117,12,0),""))</f>
        <v/>
      </c>
      <c r="AH39" s="388"/>
      <c r="AI39" s="346" t="str">
        <f>IF($AH39="○",VLOOKUP($CE39,参照データ!$D$65:$M$82,10,0),IF($AH39="選手権",VLOOKUP($DO39,参照データ!$D$88:$O$117,12,0),""))</f>
        <v/>
      </c>
      <c r="AJ39" s="388"/>
      <c r="AK39" s="511"/>
      <c r="AL39" s="346" t="str">
        <f t="shared" si="3"/>
        <v/>
      </c>
      <c r="AM39" s="392"/>
      <c r="AN39" s="391"/>
      <c r="AO39" s="391"/>
      <c r="AP39" s="447"/>
      <c r="AQ39" s="321"/>
      <c r="AR39" s="481"/>
      <c r="AS39" s="393"/>
      <c r="AT39" s="483"/>
      <c r="AU39" s="393"/>
      <c r="AV39" s="529"/>
      <c r="AW39" s="483"/>
      <c r="AZ39">
        <f t="shared" si="50"/>
        <v>0</v>
      </c>
      <c r="BA39" t="str">
        <f t="shared" si="35"/>
        <v/>
      </c>
      <c r="BB39" s="132"/>
      <c r="BD39" s="513" t="str">
        <f t="shared" si="4"/>
        <v/>
      </c>
      <c r="BE39" s="53" t="str">
        <f>IF($AZ39=0,"",IF(AND($I39&gt;=6,$I39&lt;=19),VLOOKUP($I39,参照データ!$B$24:$C$37,2,0),IF($I39&lt;6,6,19)))</f>
        <v/>
      </c>
      <c r="BF39" s="155" t="str">
        <f>IF($J39="○",VLOOKUP($BE39,参照データ!$C$24:$I$37,2,0),"")</f>
        <v/>
      </c>
      <c r="BG39" s="146" t="str">
        <f>IF($K39="○",VLOOKUP($BE39,参照データ!$C$24:$I$37,3,0),"")</f>
        <v/>
      </c>
      <c r="BH39" s="146" t="str">
        <f>IF($L39="○",VLOOKUP($BE39,参照データ!$C$24:$I$37,4,0),"")</f>
        <v/>
      </c>
      <c r="BI39" s="146" t="str">
        <f>IF($M39="○",VLOOKUP($BE39,参照データ!$C$24:$I$37,5,0),"")</f>
        <v/>
      </c>
      <c r="BJ39" s="146" t="str">
        <f>IF($N39="20日",VLOOKUP($BE39,参照データ!$C$24:$I$37,6,0),"")</f>
        <v/>
      </c>
      <c r="BK39" s="156" t="str">
        <f>IF($O39="20日",VLOOKUP($BE39,参照データ!$C$24:$I$37,7,0),"")</f>
        <v/>
      </c>
      <c r="BL39" s="155" t="str">
        <f>IF($J39="21日",VLOOKUP($BE39,参照データ!$C$24:$I$37,2,0),"")</f>
        <v/>
      </c>
      <c r="BM39" s="146" t="str">
        <f>IF($K39="21日",VLOOKUP($BE39,参照データ!$C$24:$I$37,3,0),"")</f>
        <v/>
      </c>
      <c r="BN39" s="146" t="str">
        <f>IF($L39="21日",VLOOKUP($BE39,参照データ!$C$24:$I$37,4,0),"")</f>
        <v/>
      </c>
      <c r="BO39" s="146" t="str">
        <f>IF($M39="21日",VLOOKUP($BE39,参照データ!$C$24:$I$37,5,0),"")</f>
        <v/>
      </c>
      <c r="BP39" s="146" t="str">
        <f>IF($N39="21日",VLOOKUP($BE39,参照データ!$C$24:$I$37,6,0),"")</f>
        <v/>
      </c>
      <c r="BQ39" s="156" t="str">
        <f>IF($O39="21日",VLOOKUP($BE39,参照データ!$C$24:$I$37,7,0),"")</f>
        <v/>
      </c>
      <c r="BR39" s="223" t="str">
        <f t="shared" si="42"/>
        <v/>
      </c>
      <c r="BS39" s="154" t="str">
        <f>IF($R39="入門",VLOOKUP($BE39,参照データ!$C$43:$U$56,2,0),IF($R39="初級",VLOOKUP($BE39,参照データ!$C$43:$U$56,3,0),IF($R39="中級",VLOOKUP($BE39,参照データ!$C$43:$U$56,4,0),IF($R39="上級",VLOOKUP($BE39,参照データ!$C$43:$U$56,5,0),""))))</f>
        <v/>
      </c>
      <c r="BT39" s="154" t="str">
        <f>IF($S39="初級",VLOOKUP($BE39,参照データ!$C$43:$U$56,6,0),IF($S39="中級",VLOOKUP($BE39,参照データ!$C$43:$U$56,7,0),IF($S39="上級",VLOOKUP($BE39,参照データ!$C$43:$U$56,8,0),"")))</f>
        <v/>
      </c>
      <c r="BU39" s="154" t="str">
        <f>IF($T39="初級",VLOOKUP($BE39,参照データ!$C$43:$U$56,9,0),IF($T39="上級",VLOOKUP($BE39,参照データ!$C$43:$U$56,10,0),""))</f>
        <v/>
      </c>
      <c r="BV39" s="154" t="str">
        <f>IF($U39="初級",VLOOKUP($BE39,参照データ!$C$43:$U$56,11,0),IF($U39="中級",VLOOKUP($BE39,参照データ!$C$43:$U$56,12,0),IF($U39="上級",VLOOKUP($BE39,参照データ!$C$43:$U$56,13,0),"")))</f>
        <v/>
      </c>
      <c r="BW39" s="154" t="str">
        <f>IF($V39="初級",VLOOKUP($BE39,参照データ!$C$43:$U$56,14,0),IF($V39="中級",VLOOKUP($BE39,参照データ!$C$43:$U$56,15,0),IF($V39="上級",VLOOKUP($BE39,参照データ!$C$43:$U$56,16,0),"")))</f>
        <v/>
      </c>
      <c r="BX39" s="47" t="str">
        <f t="shared" si="5"/>
        <v/>
      </c>
      <c r="BY39" s="47" t="str">
        <f>IF($W39="初級",VLOOKUP($BE39,参照データ!$C$43:$U$56,17,0),IF($W39="中級",VLOOKUP($BE39,参照データ!$C$43:$U$56,18,0),IF($W39="上級",VLOOKUP($BE39,参照データ!$C$43:$U$56,19,0),"")))</f>
        <v/>
      </c>
      <c r="BZ39" s="687"/>
      <c r="CA39" s="65" t="s">
        <v>251</v>
      </c>
      <c r="CB39" s="135" t="str">
        <f t="shared" si="13"/>
        <v/>
      </c>
      <c r="CC39" s="689"/>
      <c r="CE39" s="53" t="str">
        <f>IF(AND($AZ39&gt;=参照データ!$C$67,$AZ39&lt;=参照データ!$C$65),1,IF(AND($AZ39&gt;=参照データ!$C$70,$AZ39&lt;=参照データ!$C$68),2,IF(AND($AZ39&gt;=参照データ!$C$73,$AZ39&lt;=参照データ!$C$71),3,IF(AND($AZ39&gt;=参照データ!$C$76,$AZ39&lt;=参照データ!$C$74),4,IF(AND($AZ39&gt;=参照データ!$C$79,$AZ39&lt;=参照データ!$C$77),5,IF(AND($AZ39&gt;0,$AZ39&lt;=参照データ!$C$80),6,""))))))</f>
        <v/>
      </c>
      <c r="CF39" s="141" t="str">
        <f>IF($Z39="○",(VLOOKUP($CE39,参照データ!$D$65:$J$82,2,0)),"")</f>
        <v/>
      </c>
      <c r="CG39" s="71" t="str">
        <f t="shared" si="14"/>
        <v/>
      </c>
      <c r="CH39" s="70" t="str">
        <f>IF($AB39="○",(VLOOKUP($CE39,参照データ!$D$65:$J$82,3,0)),"")</f>
        <v/>
      </c>
      <c r="CI39" s="71" t="str">
        <f t="shared" si="15"/>
        <v/>
      </c>
      <c r="CJ39" s="70" t="str">
        <f>IF($AD39="○",(VLOOKUP($CE39,参照データ!$D$65:$J$82,4,0)),"")</f>
        <v/>
      </c>
      <c r="CK39" s="71" t="str">
        <f t="shared" si="16"/>
        <v/>
      </c>
      <c r="CL39" s="70" t="str">
        <f>IF($AF39="○",(VLOOKUP($CE39,参照データ!$D$65:$J$82,5,0)),"")</f>
        <v/>
      </c>
      <c r="CM39" s="71" t="str">
        <f t="shared" si="6"/>
        <v/>
      </c>
      <c r="CN39" s="70" t="str">
        <f>IF($AH39="○",(VLOOKUP($CE39,参照データ!$D$65:$J$82,6,0)),"")</f>
        <v/>
      </c>
      <c r="CO39" s="71" t="str">
        <f t="shared" si="17"/>
        <v/>
      </c>
      <c r="CP39" s="33" t="str">
        <f t="shared" si="18"/>
        <v/>
      </c>
      <c r="CQ39" s="32" t="str">
        <f t="shared" si="19"/>
        <v/>
      </c>
      <c r="CR39" s="71" t="str">
        <f t="shared" si="20"/>
        <v/>
      </c>
      <c r="CS39" s="682"/>
      <c r="CT39" s="77" t="s">
        <v>112</v>
      </c>
      <c r="CU39" s="78" t="str">
        <f t="shared" si="21"/>
        <v/>
      </c>
      <c r="CV39" s="684"/>
      <c r="CW39" s="308" t="str">
        <f t="shared" ref="CW39" si="75">$CW38</f>
        <v/>
      </c>
      <c r="CX39" s="70"/>
      <c r="CY39" s="172" t="str">
        <f t="shared" si="22"/>
        <v/>
      </c>
      <c r="DA39" s="32"/>
      <c r="DB39" s="161" t="str">
        <f t="shared" si="23"/>
        <v/>
      </c>
      <c r="DC39" s="744"/>
      <c r="DD39" s="164" t="s">
        <v>112</v>
      </c>
      <c r="DE39" s="165" t="str">
        <f t="shared" si="44"/>
        <v/>
      </c>
      <c r="DF39" s="742"/>
      <c r="DG39" t="str">
        <f>IF($DH39="","",DATEDIF($AZ39,参照データ!$D$19,"Y"))</f>
        <v/>
      </c>
      <c r="DH39" s="253" t="str">
        <f>IFERROR(IF($BA39="男子",VLOOKUP($DO39,参照データ!$D$88:$E$117,2,0),$DO39),0)</f>
        <v/>
      </c>
      <c r="DI39" s="84" t="str">
        <f>IF($Z39="選手権",(VLOOKUP($DH39,参照データ!$D$88:$K$117,3,0)),"")</f>
        <v/>
      </c>
      <c r="DJ39" s="85" t="str">
        <f t="shared" si="7"/>
        <v/>
      </c>
      <c r="DK39" s="84" t="str">
        <f>IF($AB39="選手権",(VLOOKUP($DH39,参照データ!$D$88:$K$117,4,0)),"")</f>
        <v/>
      </c>
      <c r="DL39" s="85" t="str">
        <f t="shared" si="8"/>
        <v/>
      </c>
      <c r="DM39" s="84" t="str">
        <f>IF($AD39="選手権",(VLOOKUP($DH39,参照データ!$D$88:$K$117,5,0)),"")</f>
        <v/>
      </c>
      <c r="DN39" s="85" t="str">
        <f t="shared" si="9"/>
        <v/>
      </c>
      <c r="DO39" s="53" t="str">
        <f>IF(AND($AZ39&gt;=参照データ!$C$90,$AZ39&lt;=参照データ!$C$88),1,IF(AND($AZ39&gt;=参照データ!$C$93,$AZ39&lt;=参照データ!$C$91),2,IF(AND($AZ39&gt;=参照データ!$C$99,$AZ39&lt;=参照データ!$C$97),3,IF(AND($AZ39&gt;=参照データ!$C$105,$AZ39&lt;=参照データ!$C$103),4,IF(AND($AZ39&gt;=参照データ!$C$111,$AZ39&lt;=参照データ!$C$109),5,IF(AND($AZ39&gt;0,$AZ39&lt;=参照データ!$C$112),6,""))))))</f>
        <v/>
      </c>
      <c r="DP39" s="84" t="str">
        <f>IF($AF39="選手権",(VLOOKUP($DO39,参照データ!$D$88:$K$117,6,0)),"")</f>
        <v/>
      </c>
      <c r="DQ39" s="85" t="str">
        <f t="shared" si="10"/>
        <v/>
      </c>
      <c r="DR39" s="84" t="str">
        <f>IF($AH39="選手権",(VLOOKUP($DO39,参照データ!$D$88:$K$117,7,0)),"")</f>
        <v/>
      </c>
      <c r="DS39" s="85" t="str">
        <f t="shared" si="24"/>
        <v/>
      </c>
      <c r="DT39" s="33" t="str">
        <f t="shared" si="25"/>
        <v/>
      </c>
      <c r="DU39" s="32" t="str">
        <f t="shared" si="26"/>
        <v/>
      </c>
      <c r="DV39" s="85" t="str">
        <f t="shared" si="27"/>
        <v/>
      </c>
      <c r="DW39" s="733"/>
      <c r="DX39" s="91" t="s">
        <v>112</v>
      </c>
      <c r="DY39" s="92" t="str">
        <f t="shared" si="37"/>
        <v/>
      </c>
      <c r="DZ39" s="735"/>
      <c r="EA39" s="312" t="str">
        <f t="shared" si="65"/>
        <v/>
      </c>
      <c r="EC39" s="491" t="str">
        <f t="shared" si="28"/>
        <v/>
      </c>
      <c r="EH39" s="35">
        <f>(COUNTIF($J39:$O39,"&lt;&gt;"))*参照データ!$E$3</f>
        <v>0</v>
      </c>
      <c r="EI39" s="219" t="str">
        <f>IF(P39="○",参照データ!$E$5,"")</f>
        <v/>
      </c>
      <c r="EJ39" s="219" t="str">
        <f>IF($Y39="○",参照データ!$E$4,"")</f>
        <v/>
      </c>
      <c r="EK39" s="18">
        <f>(SUM(COUNTIF($R39:$V39,{"入門","初級"}))*参照データ!$E$9)+(SUM(COUNTIF($R39:$V39,{"中級","上級"})*参照データ!$E$10))</f>
        <v>0</v>
      </c>
      <c r="EL39" s="18">
        <f>IFERROR(VLOOKUP($W39,参照データ!$D$9:$J$11,7,0),0)</f>
        <v>0</v>
      </c>
      <c r="EM39" s="18">
        <f>((COUNTIF($Z39:$AH39,"○"))*参照データ!$E$12)</f>
        <v>0</v>
      </c>
      <c r="EN39" s="18" t="str">
        <f>(IF($AJ39="○",参照データ!$J$12,""))</f>
        <v/>
      </c>
      <c r="EQ39" s="18">
        <f>((COUNTIF($Z39:$AH39,"選手権"))*参照データ!$E$13)</f>
        <v>0</v>
      </c>
      <c r="ER39" s="18" t="str">
        <f>(IF($AJ39="選手権",参照データ!$J$13,""))</f>
        <v/>
      </c>
      <c r="ES39" s="18">
        <f>(COUNTIF($AQ39:$AR39,"&lt;&gt;"))*参照データ!$H$3</f>
        <v>0</v>
      </c>
      <c r="ET39" s="18"/>
      <c r="EU39" s="18" t="str">
        <f>IF(AV39&lt;&gt;"",参照データ!$H$15,"")</f>
        <v/>
      </c>
      <c r="EV39" s="98" cm="1">
        <f t="array" ref="EV39">SUM(IF(ISERROR(EH39:EU39),0,(EH39:EU39)))</f>
        <v>0</v>
      </c>
      <c r="EW39" s="18"/>
      <c r="EX39" s="18">
        <f t="shared" si="11"/>
        <v>0</v>
      </c>
      <c r="EY39" s="18">
        <f t="shared" si="29"/>
        <v>0</v>
      </c>
      <c r="EZ39" s="18">
        <f t="shared" si="38"/>
        <v>0</v>
      </c>
      <c r="FA39" s="18">
        <f t="shared" si="30"/>
        <v>0</v>
      </c>
      <c r="FB39" s="18">
        <f t="shared" si="31"/>
        <v>0</v>
      </c>
      <c r="FC39" s="18">
        <f t="shared" si="32"/>
        <v>0</v>
      </c>
      <c r="FD39" s="18">
        <f t="shared" si="12"/>
        <v>0</v>
      </c>
      <c r="FE39" t="str">
        <f t="shared" si="33"/>
        <v/>
      </c>
    </row>
    <row r="40" spans="1:161" ht="18.75" customHeight="1" x14ac:dyDescent="0.2">
      <c r="A40">
        <v>29</v>
      </c>
      <c r="B40" s="14" t="str">
        <f>IF(D40="","",IF(D40="重複","",COUNTIF(B$12:$B39,"&gt;0")+1))</f>
        <v/>
      </c>
      <c r="C40" s="464"/>
      <c r="D40" s="177"/>
      <c r="E40" s="177"/>
      <c r="F40" s="31"/>
      <c r="G40" s="41"/>
      <c r="H40" s="351">
        <f t="shared" si="34"/>
        <v>0</v>
      </c>
      <c r="I40" s="193" t="str">
        <f>IF($AZ40=0,"",DATEDIF($AZ40,参照データ!$D$16,"Y"))</f>
        <v/>
      </c>
      <c r="J40" s="36"/>
      <c r="K40" s="36"/>
      <c r="L40" s="36"/>
      <c r="M40" s="36"/>
      <c r="N40" s="36"/>
      <c r="O40" s="42"/>
      <c r="P40" s="345"/>
      <c r="Q40" s="345"/>
      <c r="R40" s="43"/>
      <c r="S40" s="244"/>
      <c r="T40" s="244"/>
      <c r="U40" s="244"/>
      <c r="V40" s="245"/>
      <c r="W40" s="248"/>
      <c r="X40" s="250"/>
      <c r="Y40" s="345"/>
      <c r="Z40" s="388"/>
      <c r="AA40" s="346" t="str">
        <f>IF($Z40="○",VLOOKUP($CE40,参照データ!$D$65:$M$82,9,0),IF($Z40="選手権",VLOOKUP($DH40,参照データ!$D$88:$O$117,10,0),""))</f>
        <v/>
      </c>
      <c r="AB40" s="388"/>
      <c r="AC40" s="346" t="str">
        <f>IF($AB40="○",VLOOKUP($CE40,参照データ!$D$65:$M$82,10,0),IF($AB40="選手権",VLOOKUP($DH40,参照データ!$D$88:$O$117,11,0),""))</f>
        <v/>
      </c>
      <c r="AD40" s="388"/>
      <c r="AE40" s="346" t="str">
        <f>IF($AD40="○",VLOOKUP($CE40,参照データ!$D$65:$M$82,10,0),IF($AD40="選手権",VLOOKUP($DH40,参照データ!$D$88:$O$117,11,0),""))</f>
        <v/>
      </c>
      <c r="AF40" s="388"/>
      <c r="AG40" s="346" t="str">
        <f>IF($AF40="○",VLOOKUP($CE40,参照データ!$D$65:$M$82,10,0),IF($AF40="選手権",VLOOKUP($DO40,参照データ!$D$88:$O$117,12,0),""))</f>
        <v/>
      </c>
      <c r="AH40" s="388"/>
      <c r="AI40" s="346" t="str">
        <f>IF($AH40="○",VLOOKUP($CE40,参照データ!$D$65:$M$82,10,0),IF($AH40="選手権",VLOOKUP($DO40,参照データ!$D$88:$O$117,12,0),""))</f>
        <v/>
      </c>
      <c r="AJ40" s="388"/>
      <c r="AK40" s="511"/>
      <c r="AL40" s="346" t="str">
        <f t="shared" si="3"/>
        <v/>
      </c>
      <c r="AM40" s="392"/>
      <c r="AN40" s="391"/>
      <c r="AO40" s="391"/>
      <c r="AP40" s="447"/>
      <c r="AQ40" s="321"/>
      <c r="AR40" s="481"/>
      <c r="AS40" s="393"/>
      <c r="AT40" s="483"/>
      <c r="AU40" s="393"/>
      <c r="AV40" s="529"/>
      <c r="AW40" s="483"/>
      <c r="AZ40">
        <f t="shared" si="50"/>
        <v>0</v>
      </c>
      <c r="BA40" t="str">
        <f t="shared" si="35"/>
        <v/>
      </c>
      <c r="BB40" s="132"/>
      <c r="BD40" s="513" t="str">
        <f t="shared" si="4"/>
        <v/>
      </c>
      <c r="BE40" s="53" t="str">
        <f>IF($AZ40=0,"",IF(AND($I40&gt;=6,$I40&lt;=19),VLOOKUP($I40,参照データ!$B$24:$C$37,2,0),IF($I40&lt;6,6,19)))</f>
        <v/>
      </c>
      <c r="BF40" s="155" t="str">
        <f>IF($J40="○",VLOOKUP($BE40,参照データ!$C$24:$I$37,2,0),"")</f>
        <v/>
      </c>
      <c r="BG40" s="146" t="str">
        <f>IF($K40="○",VLOOKUP($BE40,参照データ!$C$24:$I$37,3,0),"")</f>
        <v/>
      </c>
      <c r="BH40" s="146" t="str">
        <f>IF($L40="○",VLOOKUP($BE40,参照データ!$C$24:$I$37,4,0),"")</f>
        <v/>
      </c>
      <c r="BI40" s="146" t="str">
        <f>IF($M40="○",VLOOKUP($BE40,参照データ!$C$24:$I$37,5,0),"")</f>
        <v/>
      </c>
      <c r="BJ40" s="146" t="str">
        <f>IF($N40="20日",VLOOKUP($BE40,参照データ!$C$24:$I$37,6,0),"")</f>
        <v/>
      </c>
      <c r="BK40" s="156" t="str">
        <f>IF($O40="20日",VLOOKUP($BE40,参照データ!$C$24:$I$37,7,0),"")</f>
        <v/>
      </c>
      <c r="BL40" s="155" t="str">
        <f>IF($J40="21日",VLOOKUP($BE40,参照データ!$C$24:$I$37,2,0),"")</f>
        <v/>
      </c>
      <c r="BM40" s="146" t="str">
        <f>IF($K40="21日",VLOOKUP($BE40,参照データ!$C$24:$I$37,3,0),"")</f>
        <v/>
      </c>
      <c r="BN40" s="146" t="str">
        <f>IF($L40="21日",VLOOKUP($BE40,参照データ!$C$24:$I$37,4,0),"")</f>
        <v/>
      </c>
      <c r="BO40" s="146" t="str">
        <f>IF($M40="21日",VLOOKUP($BE40,参照データ!$C$24:$I$37,5,0),"")</f>
        <v/>
      </c>
      <c r="BP40" s="146" t="str">
        <f>IF($N40="21日",VLOOKUP($BE40,参照データ!$C$24:$I$37,6,0),"")</f>
        <v/>
      </c>
      <c r="BQ40" s="156" t="str">
        <f>IF($O40="21日",VLOOKUP($BE40,参照データ!$C$24:$I$37,7,0),"")</f>
        <v/>
      </c>
      <c r="BR40" s="223" t="str">
        <f t="shared" si="42"/>
        <v/>
      </c>
      <c r="BS40" s="154" t="str">
        <f>IF($R40="入門",VLOOKUP($BE40,参照データ!$C$43:$U$56,2,0),IF($R40="初級",VLOOKUP($BE40,参照データ!$C$43:$U$56,3,0),IF($R40="中級",VLOOKUP($BE40,参照データ!$C$43:$U$56,4,0),IF($R40="上級",VLOOKUP($BE40,参照データ!$C$43:$U$56,5,0),""))))</f>
        <v/>
      </c>
      <c r="BT40" s="154" t="str">
        <f>IF($S40="初級",VLOOKUP($BE40,参照データ!$C$43:$U$56,6,0),IF($S40="中級",VLOOKUP($BE40,参照データ!$C$43:$U$56,7,0),IF($S40="上級",VLOOKUP($BE40,参照データ!$C$43:$U$56,8,0),"")))</f>
        <v/>
      </c>
      <c r="BU40" s="154" t="str">
        <f>IF($T40="初級",VLOOKUP($BE40,参照データ!$C$43:$U$56,9,0),IF($T40="上級",VLOOKUP($BE40,参照データ!$C$43:$U$56,10,0),""))</f>
        <v/>
      </c>
      <c r="BV40" s="154" t="str">
        <f>IF($U40="初級",VLOOKUP($BE40,参照データ!$C$43:$U$56,11,0),IF($U40="中級",VLOOKUP($BE40,参照データ!$C$43:$U$56,12,0),IF($U40="上級",VLOOKUP($BE40,参照データ!$C$43:$U$56,13,0),"")))</f>
        <v/>
      </c>
      <c r="BW40" s="154" t="str">
        <f>IF($V40="初級",VLOOKUP($BE40,参照データ!$C$43:$U$56,14,0),IF($V40="中級",VLOOKUP($BE40,参照データ!$C$43:$U$56,15,0),IF($V40="上級",VLOOKUP($BE40,参照データ!$C$43:$U$56,16,0),"")))</f>
        <v/>
      </c>
      <c r="BX40" s="47" t="str">
        <f t="shared" si="5"/>
        <v/>
      </c>
      <c r="BY40" s="47" t="str">
        <f>IF($W40="初級",VLOOKUP($BE40,参照データ!$C$43:$U$56,17,0),IF($W40="中級",VLOOKUP($BE40,参照データ!$C$43:$U$56,18,0),IF($W40="上級",VLOOKUP($BE40,参照データ!$C$43:$U$56,19,0),"")))</f>
        <v/>
      </c>
      <c r="BZ40" s="686">
        <v>15</v>
      </c>
      <c r="CA40" s="66" t="s">
        <v>252</v>
      </c>
      <c r="CB40" s="136" t="str">
        <f t="shared" si="13"/>
        <v/>
      </c>
      <c r="CC40" s="688" t="str">
        <f t="shared" ref="CC40" si="76">IF(OR($CB40="",$CB41=""),"",IF($CB40&gt;$CB41,$CB40,$CB41))</f>
        <v/>
      </c>
      <c r="CE40" s="53" t="str">
        <f>IF(AND($AZ40&gt;=参照データ!$C$67,$AZ40&lt;=参照データ!$C$65),1,IF(AND($AZ40&gt;=参照データ!$C$70,$AZ40&lt;=参照データ!$C$68),2,IF(AND($AZ40&gt;=参照データ!$C$73,$AZ40&lt;=参照データ!$C$71),3,IF(AND($AZ40&gt;=参照データ!$C$76,$AZ40&lt;=参照データ!$C$74),4,IF(AND($AZ40&gt;=参照データ!$C$79,$AZ40&lt;=参照データ!$C$77),5,IF(AND($AZ40&gt;0,$AZ40&lt;=参照データ!$C$80),6,""))))))</f>
        <v/>
      </c>
      <c r="CF40" s="141" t="str">
        <f>IF($Z40="○",(VLOOKUP($CE40,参照データ!$D$65:$J$82,2,0)),"")</f>
        <v/>
      </c>
      <c r="CG40" s="71" t="str">
        <f t="shared" si="14"/>
        <v/>
      </c>
      <c r="CH40" s="70" t="str">
        <f>IF($AB40="○",(VLOOKUP($CE40,参照データ!$D$65:$J$82,3,0)),"")</f>
        <v/>
      </c>
      <c r="CI40" s="71" t="str">
        <f t="shared" si="15"/>
        <v/>
      </c>
      <c r="CJ40" s="70" t="str">
        <f>IF($AD40="○",(VLOOKUP($CE40,参照データ!$D$65:$J$82,4,0)),"")</f>
        <v/>
      </c>
      <c r="CK40" s="71" t="str">
        <f t="shared" si="16"/>
        <v/>
      </c>
      <c r="CL40" s="70" t="str">
        <f>IF($AF40="○",(VLOOKUP($CE40,参照データ!$D$65:$J$82,5,0)),"")</f>
        <v/>
      </c>
      <c r="CM40" s="71" t="str">
        <f t="shared" si="6"/>
        <v/>
      </c>
      <c r="CN40" s="70" t="str">
        <f>IF($AH40="○",(VLOOKUP($CE40,参照データ!$D$65:$J$82,6,0)),"")</f>
        <v/>
      </c>
      <c r="CO40" s="71" t="str">
        <f t="shared" si="17"/>
        <v/>
      </c>
      <c r="CP40" s="33" t="str">
        <f t="shared" si="18"/>
        <v/>
      </c>
      <c r="CQ40" s="32" t="str">
        <f t="shared" si="19"/>
        <v/>
      </c>
      <c r="CR40" s="71" t="str">
        <f t="shared" si="20"/>
        <v/>
      </c>
      <c r="CS40" s="681">
        <v>15</v>
      </c>
      <c r="CT40" s="79" t="s">
        <v>113</v>
      </c>
      <c r="CU40" s="80" t="str">
        <f t="shared" si="21"/>
        <v/>
      </c>
      <c r="CV40" s="683" t="e">
        <f>IF($CU40&gt;$CU41,VLOOKUP($CU40,参照データ!$D$65:$J$82,7,0),VLOOKUP($CU41,参照データ!$D$65:$J$82,7,0))</f>
        <v>#N/A</v>
      </c>
      <c r="CW40" s="308" t="str">
        <f>IFERROR(VLOOKUP($CV40,参照データ!$J$65:$M$82,4,0),"")</f>
        <v/>
      </c>
      <c r="CX40" s="70"/>
      <c r="CY40" s="172" t="str">
        <f t="shared" si="22"/>
        <v/>
      </c>
      <c r="DA40" s="32"/>
      <c r="DB40" s="161" t="str">
        <f t="shared" si="23"/>
        <v/>
      </c>
      <c r="DC40" s="743">
        <v>15</v>
      </c>
      <c r="DD40" s="166" t="s">
        <v>113</v>
      </c>
      <c r="DE40" s="167" t="str">
        <f t="shared" si="44"/>
        <v/>
      </c>
      <c r="DF40" s="741" t="str">
        <f>IF(OR(DE40="",DE41=""),"",IF(DE40&gt;DE41,DE40,DE41))</f>
        <v/>
      </c>
      <c r="DG40" t="str">
        <f>IF($DH40="","",DATEDIF($AZ40,参照データ!$D$19,"Y"))</f>
        <v/>
      </c>
      <c r="DH40" s="253" t="str">
        <f>IFERROR(IF($BA40="男子",VLOOKUP($DO40,参照データ!$D$88:$E$117,2,0),$DO40),0)</f>
        <v/>
      </c>
      <c r="DI40" s="84" t="str">
        <f>IF($Z40="選手権",(VLOOKUP($DH40,参照データ!$D$88:$K$117,3,0)),"")</f>
        <v/>
      </c>
      <c r="DJ40" s="85" t="str">
        <f t="shared" si="7"/>
        <v/>
      </c>
      <c r="DK40" s="84" t="str">
        <f>IF($AB40="選手権",(VLOOKUP($DH40,参照データ!$D$88:$K$117,4,0)),"")</f>
        <v/>
      </c>
      <c r="DL40" s="85" t="str">
        <f t="shared" si="8"/>
        <v/>
      </c>
      <c r="DM40" s="84" t="str">
        <f>IF($AD40="選手権",(VLOOKUP($DH40,参照データ!$D$88:$K$117,5,0)),"")</f>
        <v/>
      </c>
      <c r="DN40" s="85" t="str">
        <f t="shared" si="9"/>
        <v/>
      </c>
      <c r="DO40" s="53" t="str">
        <f>IF(AND($AZ40&gt;=参照データ!$C$90,$AZ40&lt;=参照データ!$C$88),1,IF(AND($AZ40&gt;=参照データ!$C$93,$AZ40&lt;=参照データ!$C$91),2,IF(AND($AZ40&gt;=参照データ!$C$99,$AZ40&lt;=参照データ!$C$97),3,IF(AND($AZ40&gt;=参照データ!$C$105,$AZ40&lt;=参照データ!$C$103),4,IF(AND($AZ40&gt;=参照データ!$C$111,$AZ40&lt;=参照データ!$C$109),5,IF(AND($AZ40&gt;0,$AZ40&lt;=参照データ!$C$112),6,""))))))</f>
        <v/>
      </c>
      <c r="DP40" s="84" t="str">
        <f>IF($AF40="選手権",(VLOOKUP($DO40,参照データ!$D$88:$K$117,6,0)),"")</f>
        <v/>
      </c>
      <c r="DQ40" s="85" t="str">
        <f t="shared" si="10"/>
        <v/>
      </c>
      <c r="DR40" s="84" t="str">
        <f>IF($AH40="選手権",(VLOOKUP($DO40,参照データ!$D$88:$K$117,7,0)),"")</f>
        <v/>
      </c>
      <c r="DS40" s="85" t="str">
        <f t="shared" si="24"/>
        <v/>
      </c>
      <c r="DT40" s="33" t="str">
        <f t="shared" si="25"/>
        <v/>
      </c>
      <c r="DU40" s="32" t="str">
        <f t="shared" si="26"/>
        <v/>
      </c>
      <c r="DV40" s="85" t="str">
        <f t="shared" si="27"/>
        <v/>
      </c>
      <c r="DW40" s="736">
        <v>15</v>
      </c>
      <c r="DX40" s="93" t="s">
        <v>113</v>
      </c>
      <c r="DY40" s="94" t="str">
        <f t="shared" si="37"/>
        <v/>
      </c>
      <c r="DZ40" s="737" t="e">
        <f>IF($DY40&gt;$DY41,VLOOKUP($DY40,参照データ!$D$88:$K$117,8,0),VLOOKUP($DY41,参照データ!$D$88:$K$117,8,0))</f>
        <v>#N/A</v>
      </c>
      <c r="EA40" s="312" t="str">
        <f>IFERROR(VLOOKUP($DZ40,参照データ!$K$88:$O$117,5,0),"")</f>
        <v/>
      </c>
      <c r="EC40" s="491" t="str">
        <f t="shared" si="28"/>
        <v/>
      </c>
      <c r="EH40" s="35">
        <f>(COUNTIF($J40:$O40,"&lt;&gt;"))*参照データ!$E$3</f>
        <v>0</v>
      </c>
      <c r="EI40" s="219" t="str">
        <f>IF(P40="○",参照データ!$E$5,"")</f>
        <v/>
      </c>
      <c r="EJ40" s="219" t="str">
        <f>IF($Y40="○",参照データ!$E$4,"")</f>
        <v/>
      </c>
      <c r="EK40" s="18">
        <f>(SUM(COUNTIF($R40:$V40,{"入門","初級"}))*参照データ!$E$9)+(SUM(COUNTIF($R40:$V40,{"中級","上級"})*参照データ!$E$10))</f>
        <v>0</v>
      </c>
      <c r="EL40" s="18">
        <f>IFERROR(VLOOKUP($W40,参照データ!$D$9:$J$11,7,0),0)</f>
        <v>0</v>
      </c>
      <c r="EM40" s="18">
        <f>((COUNTIF($Z40:$AH40,"○"))*参照データ!$E$12)</f>
        <v>0</v>
      </c>
      <c r="EN40" s="18" t="str">
        <f>(IF($AJ40="○",参照データ!$J$12,""))</f>
        <v/>
      </c>
      <c r="EQ40" s="18">
        <f>((COUNTIF($Z40:$AH40,"選手権"))*参照データ!$E$13)</f>
        <v>0</v>
      </c>
      <c r="ER40" s="18" t="str">
        <f>(IF($AJ40="選手権",参照データ!$J$13,""))</f>
        <v/>
      </c>
      <c r="ES40" s="18">
        <f>(COUNTIF($AQ40:$AR40,"&lt;&gt;"))*参照データ!$H$3</f>
        <v>0</v>
      </c>
      <c r="ET40" s="18"/>
      <c r="EU40" s="18" t="str">
        <f>IF(AV40&lt;&gt;"",参照データ!$H$15,"")</f>
        <v/>
      </c>
      <c r="EV40" s="98" cm="1">
        <f t="array" ref="EV40">SUM(IF(ISERROR(EH40:EU40),0,(EH40:EU40)))</f>
        <v>0</v>
      </c>
      <c r="EW40" s="18"/>
      <c r="EX40" s="18">
        <f t="shared" si="11"/>
        <v>0</v>
      </c>
      <c r="EY40" s="18">
        <f t="shared" si="29"/>
        <v>0</v>
      </c>
      <c r="EZ40" s="18">
        <f t="shared" si="38"/>
        <v>0</v>
      </c>
      <c r="FA40" s="18">
        <f t="shared" si="30"/>
        <v>0</v>
      </c>
      <c r="FB40" s="18">
        <f t="shared" si="31"/>
        <v>0</v>
      </c>
      <c r="FC40" s="18">
        <f t="shared" si="32"/>
        <v>0</v>
      </c>
      <c r="FD40" s="18">
        <f t="shared" si="12"/>
        <v>0</v>
      </c>
      <c r="FE40" t="str">
        <f t="shared" si="33"/>
        <v/>
      </c>
    </row>
    <row r="41" spans="1:161" ht="18.75" customHeight="1" x14ac:dyDescent="0.2">
      <c r="A41">
        <v>30</v>
      </c>
      <c r="B41" s="14" t="str">
        <f>IF(D41="","",IF(D41="重複","",COUNTIF(B$12:$B40,"&gt;0")+1))</f>
        <v/>
      </c>
      <c r="C41" s="464"/>
      <c r="D41" s="177"/>
      <c r="E41" s="177"/>
      <c r="F41" s="31"/>
      <c r="G41" s="41"/>
      <c r="H41" s="351">
        <f t="shared" si="34"/>
        <v>0</v>
      </c>
      <c r="I41" s="193" t="str">
        <f>IF($AZ41=0,"",DATEDIF($AZ41,参照データ!$D$16,"Y"))</f>
        <v/>
      </c>
      <c r="J41" s="36"/>
      <c r="K41" s="36"/>
      <c r="L41" s="36"/>
      <c r="M41" s="36"/>
      <c r="N41" s="36"/>
      <c r="O41" s="42"/>
      <c r="P41" s="345"/>
      <c r="Q41" s="345"/>
      <c r="R41" s="43"/>
      <c r="S41" s="244"/>
      <c r="T41" s="244"/>
      <c r="U41" s="244"/>
      <c r="V41" s="245"/>
      <c r="W41" s="248"/>
      <c r="X41" s="250"/>
      <c r="Y41" s="345"/>
      <c r="Z41" s="388"/>
      <c r="AA41" s="346" t="str">
        <f>IF($Z41="○",VLOOKUP($CE41,参照データ!$D$65:$M$82,9,0),IF($Z41="選手権",VLOOKUP($DH41,参照データ!$D$88:$O$117,10,0),""))</f>
        <v/>
      </c>
      <c r="AB41" s="388"/>
      <c r="AC41" s="346" t="str">
        <f>IF($AB41="○",VLOOKUP($CE41,参照データ!$D$65:$M$82,10,0),IF($AB41="選手権",VLOOKUP($DH41,参照データ!$D$88:$O$117,11,0),""))</f>
        <v/>
      </c>
      <c r="AD41" s="388"/>
      <c r="AE41" s="346" t="str">
        <f>IF($AD41="○",VLOOKUP($CE41,参照データ!$D$65:$M$82,10,0),IF($AD41="選手権",VLOOKUP($DH41,参照データ!$D$88:$O$117,11,0),""))</f>
        <v/>
      </c>
      <c r="AF41" s="388"/>
      <c r="AG41" s="346" t="str">
        <f>IF($AF41="○",VLOOKUP($CE41,参照データ!$D$65:$M$82,10,0),IF($AF41="選手権",VLOOKUP($DO41,参照データ!$D$88:$O$117,12,0),""))</f>
        <v/>
      </c>
      <c r="AH41" s="388"/>
      <c r="AI41" s="346" t="str">
        <f>IF($AH41="○",VLOOKUP($CE41,参照データ!$D$65:$M$82,10,0),IF($AH41="選手権",VLOOKUP($DO41,参照データ!$D$88:$O$117,12,0),""))</f>
        <v/>
      </c>
      <c r="AJ41" s="388"/>
      <c r="AK41" s="511"/>
      <c r="AL41" s="346" t="str">
        <f t="shared" si="3"/>
        <v/>
      </c>
      <c r="AM41" s="392"/>
      <c r="AN41" s="391"/>
      <c r="AO41" s="391"/>
      <c r="AP41" s="447"/>
      <c r="AQ41" s="321"/>
      <c r="AR41" s="481"/>
      <c r="AS41" s="393"/>
      <c r="AT41" s="483"/>
      <c r="AU41" s="393"/>
      <c r="AV41" s="529"/>
      <c r="AW41" s="483"/>
      <c r="AZ41">
        <f t="shared" si="50"/>
        <v>0</v>
      </c>
      <c r="BA41" t="str">
        <f t="shared" si="35"/>
        <v/>
      </c>
      <c r="BB41" s="132"/>
      <c r="BD41" s="513" t="str">
        <f t="shared" si="4"/>
        <v/>
      </c>
      <c r="BE41" s="53" t="str">
        <f>IF($AZ41=0,"",IF(AND($I41&gt;=6,$I41&lt;=19),VLOOKUP($I41,参照データ!$B$24:$C$37,2,0),IF($I41&lt;6,6,19)))</f>
        <v/>
      </c>
      <c r="BF41" s="155" t="str">
        <f>IF($J41="○",VLOOKUP($BE41,参照データ!$C$24:$I$37,2,0),"")</f>
        <v/>
      </c>
      <c r="BG41" s="146" t="str">
        <f>IF($K41="○",VLOOKUP($BE41,参照データ!$C$24:$I$37,3,0),"")</f>
        <v/>
      </c>
      <c r="BH41" s="146" t="str">
        <f>IF($L41="○",VLOOKUP($BE41,参照データ!$C$24:$I$37,4,0),"")</f>
        <v/>
      </c>
      <c r="BI41" s="146" t="str">
        <f>IF($M41="○",VLOOKUP($BE41,参照データ!$C$24:$I$37,5,0),"")</f>
        <v/>
      </c>
      <c r="BJ41" s="146" t="str">
        <f>IF($N41="20日",VLOOKUP($BE41,参照データ!$C$24:$I$37,6,0),"")</f>
        <v/>
      </c>
      <c r="BK41" s="156" t="str">
        <f>IF($O41="20日",VLOOKUP($BE41,参照データ!$C$24:$I$37,7,0),"")</f>
        <v/>
      </c>
      <c r="BL41" s="155" t="str">
        <f>IF($J41="21日",VLOOKUP($BE41,参照データ!$C$24:$I$37,2,0),"")</f>
        <v/>
      </c>
      <c r="BM41" s="146" t="str">
        <f>IF($K41="21日",VLOOKUP($BE41,参照データ!$C$24:$I$37,3,0),"")</f>
        <v/>
      </c>
      <c r="BN41" s="146" t="str">
        <f>IF($L41="21日",VLOOKUP($BE41,参照データ!$C$24:$I$37,4,0),"")</f>
        <v/>
      </c>
      <c r="BO41" s="146" t="str">
        <f>IF($M41="21日",VLOOKUP($BE41,参照データ!$C$24:$I$37,5,0),"")</f>
        <v/>
      </c>
      <c r="BP41" s="146" t="str">
        <f>IF($N41="21日",VLOOKUP($BE41,参照データ!$C$24:$I$37,6,0),"")</f>
        <v/>
      </c>
      <c r="BQ41" s="156" t="str">
        <f>IF($O41="21日",VLOOKUP($BE41,参照データ!$C$24:$I$37,7,0),"")</f>
        <v/>
      </c>
      <c r="BR41" s="223" t="str">
        <f t="shared" si="42"/>
        <v/>
      </c>
      <c r="BS41" s="154" t="str">
        <f>IF($R41="入門",VLOOKUP($BE41,参照データ!$C$43:$U$56,2,0),IF($R41="初級",VLOOKUP($BE41,参照データ!$C$43:$U$56,3,0),IF($R41="中級",VLOOKUP($BE41,参照データ!$C$43:$U$56,4,0),IF($R41="上級",VLOOKUP($BE41,参照データ!$C$43:$U$56,5,0),""))))</f>
        <v/>
      </c>
      <c r="BT41" s="154" t="str">
        <f>IF($S41="初級",VLOOKUP($BE41,参照データ!$C$43:$U$56,6,0),IF($S41="中級",VLOOKUP($BE41,参照データ!$C$43:$U$56,7,0),IF($S41="上級",VLOOKUP($BE41,参照データ!$C$43:$U$56,8,0),"")))</f>
        <v/>
      </c>
      <c r="BU41" s="154" t="str">
        <f>IF($T41="初級",VLOOKUP($BE41,参照データ!$C$43:$U$56,9,0),IF($T41="上級",VLOOKUP($BE41,参照データ!$C$43:$U$56,10,0),""))</f>
        <v/>
      </c>
      <c r="BV41" s="154" t="str">
        <f>IF($U41="初級",VLOOKUP($BE41,参照データ!$C$43:$U$56,11,0),IF($U41="中級",VLOOKUP($BE41,参照データ!$C$43:$U$56,12,0),IF($U41="上級",VLOOKUP($BE41,参照データ!$C$43:$U$56,13,0),"")))</f>
        <v/>
      </c>
      <c r="BW41" s="154" t="str">
        <f>IF($V41="初級",VLOOKUP($BE41,参照データ!$C$43:$U$56,14,0),IF($V41="中級",VLOOKUP($BE41,参照データ!$C$43:$U$56,15,0),IF($V41="上級",VLOOKUP($BE41,参照データ!$C$43:$U$56,16,0),"")))</f>
        <v/>
      </c>
      <c r="BX41" s="47" t="str">
        <f t="shared" si="5"/>
        <v/>
      </c>
      <c r="BY41" s="47" t="str">
        <f>IF($W41="初級",VLOOKUP($BE41,参照データ!$C$43:$U$56,17,0),IF($W41="中級",VLOOKUP($BE41,参照データ!$C$43:$U$56,18,0),IF($W41="上級",VLOOKUP($BE41,参照データ!$C$43:$U$56,19,0),"")))</f>
        <v/>
      </c>
      <c r="BZ41" s="687"/>
      <c r="CA41" s="65" t="s">
        <v>253</v>
      </c>
      <c r="CB41" s="135" t="str">
        <f t="shared" si="13"/>
        <v/>
      </c>
      <c r="CC41" s="689"/>
      <c r="CE41" s="53" t="str">
        <f>IF(AND($AZ41&gt;=参照データ!$C$67,$AZ41&lt;=参照データ!$C$65),1,IF(AND($AZ41&gt;=参照データ!$C$70,$AZ41&lt;=参照データ!$C$68),2,IF(AND($AZ41&gt;=参照データ!$C$73,$AZ41&lt;=参照データ!$C$71),3,IF(AND($AZ41&gt;=参照データ!$C$76,$AZ41&lt;=参照データ!$C$74),4,IF(AND($AZ41&gt;=参照データ!$C$79,$AZ41&lt;=参照データ!$C$77),5,IF(AND($AZ41&gt;0,$AZ41&lt;=参照データ!$C$80),6,""))))))</f>
        <v/>
      </c>
      <c r="CF41" s="141" t="str">
        <f>IF($Z41="○",(VLOOKUP($CE41,参照データ!$D$65:$J$82,2,0)),"")</f>
        <v/>
      </c>
      <c r="CG41" s="71" t="str">
        <f t="shared" si="14"/>
        <v/>
      </c>
      <c r="CH41" s="70" t="str">
        <f>IF($AB41="○",(VLOOKUP($CE41,参照データ!$D$65:$J$82,3,0)),"")</f>
        <v/>
      </c>
      <c r="CI41" s="71" t="str">
        <f t="shared" si="15"/>
        <v/>
      </c>
      <c r="CJ41" s="70" t="str">
        <f>IF($AD41="○",(VLOOKUP($CE41,参照データ!$D$65:$J$82,4,0)),"")</f>
        <v/>
      </c>
      <c r="CK41" s="71" t="str">
        <f t="shared" si="16"/>
        <v/>
      </c>
      <c r="CL41" s="70" t="str">
        <f>IF($AF41="○",(VLOOKUP($CE41,参照データ!$D$65:$J$82,5,0)),"")</f>
        <v/>
      </c>
      <c r="CM41" s="71" t="str">
        <f t="shared" si="6"/>
        <v/>
      </c>
      <c r="CN41" s="70" t="str">
        <f>IF($AH41="○",(VLOOKUP($CE41,参照データ!$D$65:$J$82,6,0)),"")</f>
        <v/>
      </c>
      <c r="CO41" s="71" t="str">
        <f t="shared" si="17"/>
        <v/>
      </c>
      <c r="CP41" s="33" t="str">
        <f t="shared" si="18"/>
        <v/>
      </c>
      <c r="CQ41" s="32" t="str">
        <f t="shared" si="19"/>
        <v/>
      </c>
      <c r="CR41" s="71" t="str">
        <f t="shared" si="20"/>
        <v/>
      </c>
      <c r="CS41" s="682"/>
      <c r="CT41" s="77" t="s">
        <v>114</v>
      </c>
      <c r="CU41" s="78" t="str">
        <f t="shared" si="21"/>
        <v/>
      </c>
      <c r="CV41" s="684"/>
      <c r="CW41" s="308" t="str">
        <f t="shared" ref="CW41" si="77">$CW40</f>
        <v/>
      </c>
      <c r="CX41" s="70"/>
      <c r="CY41" s="172" t="str">
        <f t="shared" si="22"/>
        <v/>
      </c>
      <c r="DA41" s="32"/>
      <c r="DB41" s="161" t="str">
        <f t="shared" si="23"/>
        <v/>
      </c>
      <c r="DC41" s="744"/>
      <c r="DD41" s="164" t="s">
        <v>114</v>
      </c>
      <c r="DE41" s="165" t="str">
        <f t="shared" si="44"/>
        <v/>
      </c>
      <c r="DF41" s="742"/>
      <c r="DG41" t="str">
        <f>IF($DH41="","",DATEDIF($AZ41,参照データ!$D$19,"Y"))</f>
        <v/>
      </c>
      <c r="DH41" s="253" t="str">
        <f>IFERROR(IF($BA41="男子",VLOOKUP($DO41,参照データ!$D$88:$E$117,2,0),$DO41),0)</f>
        <v/>
      </c>
      <c r="DI41" s="84" t="str">
        <f>IF($Z41="選手権",(VLOOKUP($DH41,参照データ!$D$88:$K$117,3,0)),"")</f>
        <v/>
      </c>
      <c r="DJ41" s="85" t="str">
        <f t="shared" si="7"/>
        <v/>
      </c>
      <c r="DK41" s="84" t="str">
        <f>IF($AB41="選手権",(VLOOKUP($DH41,参照データ!$D$88:$K$117,4,0)),"")</f>
        <v/>
      </c>
      <c r="DL41" s="85" t="str">
        <f t="shared" si="8"/>
        <v/>
      </c>
      <c r="DM41" s="84" t="str">
        <f>IF($AD41="選手権",(VLOOKUP($DH41,参照データ!$D$88:$K$117,5,0)),"")</f>
        <v/>
      </c>
      <c r="DN41" s="85" t="str">
        <f t="shared" si="9"/>
        <v/>
      </c>
      <c r="DO41" s="53" t="str">
        <f>IF(AND($AZ41&gt;=参照データ!$C$90,$AZ41&lt;=参照データ!$C$88),1,IF(AND($AZ41&gt;=参照データ!$C$93,$AZ41&lt;=参照データ!$C$91),2,IF(AND($AZ41&gt;=参照データ!$C$99,$AZ41&lt;=参照データ!$C$97),3,IF(AND($AZ41&gt;=参照データ!$C$105,$AZ41&lt;=参照データ!$C$103),4,IF(AND($AZ41&gt;=参照データ!$C$111,$AZ41&lt;=参照データ!$C$109),5,IF(AND($AZ41&gt;0,$AZ41&lt;=参照データ!$C$112),6,""))))))</f>
        <v/>
      </c>
      <c r="DP41" s="84" t="str">
        <f>IF($AF41="選手権",(VLOOKUP($DO41,参照データ!$D$88:$K$117,6,0)),"")</f>
        <v/>
      </c>
      <c r="DQ41" s="85" t="str">
        <f t="shared" si="10"/>
        <v/>
      </c>
      <c r="DR41" s="84" t="str">
        <f>IF($AH41="選手権",(VLOOKUP($DO41,参照データ!$D$88:$K$117,7,0)),"")</f>
        <v/>
      </c>
      <c r="DS41" s="85" t="str">
        <f t="shared" si="24"/>
        <v/>
      </c>
      <c r="DT41" s="33" t="str">
        <f t="shared" si="25"/>
        <v/>
      </c>
      <c r="DU41" s="32" t="str">
        <f t="shared" si="26"/>
        <v/>
      </c>
      <c r="DV41" s="85" t="str">
        <f t="shared" si="27"/>
        <v/>
      </c>
      <c r="DW41" s="733"/>
      <c r="DX41" s="91" t="s">
        <v>114</v>
      </c>
      <c r="DY41" s="92" t="str">
        <f t="shared" si="37"/>
        <v/>
      </c>
      <c r="DZ41" s="735"/>
      <c r="EA41" s="312" t="str">
        <f t="shared" si="65"/>
        <v/>
      </c>
      <c r="EC41" s="491" t="str">
        <f t="shared" si="28"/>
        <v/>
      </c>
      <c r="EH41" s="35">
        <f>(COUNTIF($J41:$O41,"&lt;&gt;"))*参照データ!$E$3</f>
        <v>0</v>
      </c>
      <c r="EI41" s="219" t="str">
        <f>IF(P41="○",参照データ!$E$5,"")</f>
        <v/>
      </c>
      <c r="EJ41" s="219" t="str">
        <f>IF($Y41="○",参照データ!$E$4,"")</f>
        <v/>
      </c>
      <c r="EK41" s="18">
        <f>(SUM(COUNTIF($R41:$V41,{"入門","初級"}))*参照データ!$E$9)+(SUM(COUNTIF($R41:$V41,{"中級","上級"})*参照データ!$E$10))</f>
        <v>0</v>
      </c>
      <c r="EL41" s="18">
        <f>IFERROR(VLOOKUP($W41,参照データ!$D$9:$J$11,7,0),0)</f>
        <v>0</v>
      </c>
      <c r="EM41" s="18">
        <f>((COUNTIF($Z41:$AH41,"○"))*参照データ!$E$12)</f>
        <v>0</v>
      </c>
      <c r="EN41" s="18" t="str">
        <f>(IF($AJ41="○",参照データ!$J$12,""))</f>
        <v/>
      </c>
      <c r="EQ41" s="18">
        <f>((COUNTIF($Z41:$AH41,"選手権"))*参照データ!$E$13)</f>
        <v>0</v>
      </c>
      <c r="ER41" s="18" t="str">
        <f>(IF($AJ41="選手権",参照データ!$J$13,""))</f>
        <v/>
      </c>
      <c r="ES41" s="18">
        <f>(COUNTIF($AQ41:$AR41,"&lt;&gt;"))*参照データ!$H$3</f>
        <v>0</v>
      </c>
      <c r="ET41" s="18"/>
      <c r="EU41" s="18" t="str">
        <f>IF(AV41&lt;&gt;"",参照データ!$H$15,"")</f>
        <v/>
      </c>
      <c r="EV41" s="98" cm="1">
        <f t="array" ref="EV41">SUM(IF(ISERROR(EH41:EU41),0,(EH41:EU41)))</f>
        <v>0</v>
      </c>
      <c r="EW41" s="18"/>
      <c r="EX41" s="18">
        <f t="shared" si="11"/>
        <v>0</v>
      </c>
      <c r="EY41" s="18">
        <f t="shared" si="29"/>
        <v>0</v>
      </c>
      <c r="EZ41" s="18">
        <f t="shared" si="38"/>
        <v>0</v>
      </c>
      <c r="FA41" s="18">
        <f t="shared" si="30"/>
        <v>0</v>
      </c>
      <c r="FB41" s="18">
        <f t="shared" si="31"/>
        <v>0</v>
      </c>
      <c r="FC41" s="18">
        <f t="shared" si="32"/>
        <v>0</v>
      </c>
      <c r="FD41" s="18">
        <f t="shared" si="12"/>
        <v>0</v>
      </c>
      <c r="FE41" t="str">
        <f t="shared" si="33"/>
        <v/>
      </c>
    </row>
    <row r="42" spans="1:161" ht="18.75" customHeight="1" x14ac:dyDescent="0.2">
      <c r="A42">
        <v>31</v>
      </c>
      <c r="B42" s="14" t="str">
        <f>IF(D42="","",IF(D42="重複","",COUNTIF(B$12:$B41,"&gt;0")+1))</f>
        <v/>
      </c>
      <c r="C42" s="464"/>
      <c r="D42" s="177"/>
      <c r="E42" s="177"/>
      <c r="F42" s="31"/>
      <c r="G42" s="41"/>
      <c r="H42" s="351">
        <f t="shared" si="34"/>
        <v>0</v>
      </c>
      <c r="I42" s="193" t="str">
        <f>IF($AZ42=0,"",DATEDIF($AZ42,参照データ!$D$16,"Y"))</f>
        <v/>
      </c>
      <c r="J42" s="36"/>
      <c r="K42" s="36"/>
      <c r="L42" s="36"/>
      <c r="M42" s="36"/>
      <c r="N42" s="36"/>
      <c r="O42" s="42"/>
      <c r="P42" s="345"/>
      <c r="Q42" s="345"/>
      <c r="R42" s="43"/>
      <c r="S42" s="244"/>
      <c r="T42" s="244"/>
      <c r="U42" s="244"/>
      <c r="V42" s="245"/>
      <c r="W42" s="248"/>
      <c r="X42" s="250"/>
      <c r="Y42" s="345"/>
      <c r="Z42" s="388"/>
      <c r="AA42" s="346" t="str">
        <f>IF($Z42="○",VLOOKUP($CE42,参照データ!$D$65:$M$82,9,0),IF($Z42="選手権",VLOOKUP($DH42,参照データ!$D$88:$O$117,10,0),""))</f>
        <v/>
      </c>
      <c r="AB42" s="388"/>
      <c r="AC42" s="346" t="str">
        <f>IF($AB42="○",VLOOKUP($CE42,参照データ!$D$65:$M$82,10,0),IF($AB42="選手権",VLOOKUP($DH42,参照データ!$D$88:$O$117,11,0),""))</f>
        <v/>
      </c>
      <c r="AD42" s="388"/>
      <c r="AE42" s="346" t="str">
        <f>IF($AD42="○",VLOOKUP($CE42,参照データ!$D$65:$M$82,10,0),IF($AD42="選手権",VLOOKUP($DH42,参照データ!$D$88:$O$117,11,0),""))</f>
        <v/>
      </c>
      <c r="AF42" s="388"/>
      <c r="AG42" s="346" t="str">
        <f>IF($AF42="○",VLOOKUP($CE42,参照データ!$D$65:$M$82,10,0),IF($AF42="選手権",VLOOKUP($DO42,参照データ!$D$88:$O$117,12,0),""))</f>
        <v/>
      </c>
      <c r="AH42" s="388"/>
      <c r="AI42" s="346" t="str">
        <f>IF($AH42="○",VLOOKUP($CE42,参照データ!$D$65:$M$82,10,0),IF($AH42="選手権",VLOOKUP($DO42,参照データ!$D$88:$O$117,12,0),""))</f>
        <v/>
      </c>
      <c r="AJ42" s="388"/>
      <c r="AK42" s="511"/>
      <c r="AL42" s="346" t="str">
        <f t="shared" si="3"/>
        <v/>
      </c>
      <c r="AM42" s="392"/>
      <c r="AN42" s="391"/>
      <c r="AO42" s="391"/>
      <c r="AP42" s="447"/>
      <c r="AQ42" s="321"/>
      <c r="AR42" s="481"/>
      <c r="AS42" s="393"/>
      <c r="AT42" s="483"/>
      <c r="AU42" s="393"/>
      <c r="AV42" s="529"/>
      <c r="AW42" s="483"/>
      <c r="AZ42">
        <f t="shared" si="50"/>
        <v>0</v>
      </c>
      <c r="BA42" t="str">
        <f t="shared" si="35"/>
        <v/>
      </c>
      <c r="BB42" s="132"/>
      <c r="BD42" s="513" t="str">
        <f t="shared" si="4"/>
        <v/>
      </c>
      <c r="BE42" s="53" t="str">
        <f>IF($AZ42=0,"",IF(AND($I42&gt;=6,$I42&lt;=19),VLOOKUP($I42,参照データ!$B$24:$C$37,2,0),IF($I42&lt;6,6,19)))</f>
        <v/>
      </c>
      <c r="BF42" s="155" t="str">
        <f>IF($J42="○",VLOOKUP($BE42,参照データ!$C$24:$I$37,2,0),"")</f>
        <v/>
      </c>
      <c r="BG42" s="146" t="str">
        <f>IF($K42="○",VLOOKUP($BE42,参照データ!$C$24:$I$37,3,0),"")</f>
        <v/>
      </c>
      <c r="BH42" s="146" t="str">
        <f>IF($L42="○",VLOOKUP($BE42,参照データ!$C$24:$I$37,4,0),"")</f>
        <v/>
      </c>
      <c r="BI42" s="146" t="str">
        <f>IF($M42="○",VLOOKUP($BE42,参照データ!$C$24:$I$37,5,0),"")</f>
        <v/>
      </c>
      <c r="BJ42" s="146" t="str">
        <f>IF($N42="20日",VLOOKUP($BE42,参照データ!$C$24:$I$37,6,0),"")</f>
        <v/>
      </c>
      <c r="BK42" s="156" t="str">
        <f>IF($O42="20日",VLOOKUP($BE42,参照データ!$C$24:$I$37,7,0),"")</f>
        <v/>
      </c>
      <c r="BL42" s="155" t="str">
        <f>IF($J42="21日",VLOOKUP($BE42,参照データ!$C$24:$I$37,2,0),"")</f>
        <v/>
      </c>
      <c r="BM42" s="146" t="str">
        <f>IF($K42="21日",VLOOKUP($BE42,参照データ!$C$24:$I$37,3,0),"")</f>
        <v/>
      </c>
      <c r="BN42" s="146" t="str">
        <f>IF($L42="21日",VLOOKUP($BE42,参照データ!$C$24:$I$37,4,0),"")</f>
        <v/>
      </c>
      <c r="BO42" s="146" t="str">
        <f>IF($M42="21日",VLOOKUP($BE42,参照データ!$C$24:$I$37,5,0),"")</f>
        <v/>
      </c>
      <c r="BP42" s="146" t="str">
        <f>IF($N42="21日",VLOOKUP($BE42,参照データ!$C$24:$I$37,6,0),"")</f>
        <v/>
      </c>
      <c r="BQ42" s="156" t="str">
        <f>IF($O42="21日",VLOOKUP($BE42,参照データ!$C$24:$I$37,7,0),"")</f>
        <v/>
      </c>
      <c r="BR42" s="223" t="str">
        <f t="shared" si="42"/>
        <v/>
      </c>
      <c r="BS42" s="154" t="str">
        <f>IF($R42="入門",VLOOKUP($BE42,参照データ!$C$43:$U$56,2,0),IF($R42="初級",VLOOKUP($BE42,参照データ!$C$43:$U$56,3,0),IF($R42="中級",VLOOKUP($BE42,参照データ!$C$43:$U$56,4,0),IF($R42="上級",VLOOKUP($BE42,参照データ!$C$43:$U$56,5,0),""))))</f>
        <v/>
      </c>
      <c r="BT42" s="154" t="str">
        <f>IF($S42="初級",VLOOKUP($BE42,参照データ!$C$43:$U$56,6,0),IF($S42="中級",VLOOKUP($BE42,参照データ!$C$43:$U$56,7,0),IF($S42="上級",VLOOKUP($BE42,参照データ!$C$43:$U$56,8,0),"")))</f>
        <v/>
      </c>
      <c r="BU42" s="154" t="str">
        <f>IF($T42="初級",VLOOKUP($BE42,参照データ!$C$43:$U$56,9,0),IF($T42="上級",VLOOKUP($BE42,参照データ!$C$43:$U$56,10,0),""))</f>
        <v/>
      </c>
      <c r="BV42" s="154" t="str">
        <f>IF($U42="初級",VLOOKUP($BE42,参照データ!$C$43:$U$56,11,0),IF($U42="中級",VLOOKUP($BE42,参照データ!$C$43:$U$56,12,0),IF($U42="上級",VLOOKUP($BE42,参照データ!$C$43:$U$56,13,0),"")))</f>
        <v/>
      </c>
      <c r="BW42" s="154" t="str">
        <f>IF($V42="初級",VLOOKUP($BE42,参照データ!$C$43:$U$56,14,0),IF($V42="中級",VLOOKUP($BE42,参照データ!$C$43:$U$56,15,0),IF($V42="上級",VLOOKUP($BE42,参照データ!$C$43:$U$56,16,0),"")))</f>
        <v/>
      </c>
      <c r="BX42" s="47" t="str">
        <f t="shared" si="5"/>
        <v/>
      </c>
      <c r="BY42" s="47" t="str">
        <f>IF($W42="初級",VLOOKUP($BE42,参照データ!$C$43:$U$56,17,0),IF($W42="中級",VLOOKUP($BE42,参照データ!$C$43:$U$56,18,0),IF($W42="上級",VLOOKUP($BE42,参照データ!$C$43:$U$56,19,0),"")))</f>
        <v/>
      </c>
      <c r="BZ42" s="686">
        <v>16</v>
      </c>
      <c r="CA42" s="66" t="s">
        <v>254</v>
      </c>
      <c r="CB42" s="136" t="str">
        <f t="shared" si="13"/>
        <v/>
      </c>
      <c r="CC42" s="688" t="str">
        <f t="shared" ref="CC42" si="78">IF(OR($CB42="",$CB43=""),"",IF($CB42&gt;$CB43,$CB42,$CB43))</f>
        <v/>
      </c>
      <c r="CE42" s="53" t="str">
        <f>IF(AND($AZ42&gt;=参照データ!$C$67,$AZ42&lt;=参照データ!$C$65),1,IF(AND($AZ42&gt;=参照データ!$C$70,$AZ42&lt;=参照データ!$C$68),2,IF(AND($AZ42&gt;=参照データ!$C$73,$AZ42&lt;=参照データ!$C$71),3,IF(AND($AZ42&gt;=参照データ!$C$76,$AZ42&lt;=参照データ!$C$74),4,IF(AND($AZ42&gt;=参照データ!$C$79,$AZ42&lt;=参照データ!$C$77),5,IF(AND($AZ42&gt;0,$AZ42&lt;=参照データ!$C$80),6,""))))))</f>
        <v/>
      </c>
      <c r="CF42" s="141" t="str">
        <f>IF($Z42="○",(VLOOKUP($CE42,参照データ!$D$65:$J$82,2,0)),"")</f>
        <v/>
      </c>
      <c r="CG42" s="71" t="str">
        <f t="shared" si="14"/>
        <v/>
      </c>
      <c r="CH42" s="70" t="str">
        <f>IF($AB42="○",(VLOOKUP($CE42,参照データ!$D$65:$J$82,3,0)),"")</f>
        <v/>
      </c>
      <c r="CI42" s="71" t="str">
        <f t="shared" si="15"/>
        <v/>
      </c>
      <c r="CJ42" s="70" t="str">
        <f>IF($AD42="○",(VLOOKUP($CE42,参照データ!$D$65:$J$82,4,0)),"")</f>
        <v/>
      </c>
      <c r="CK42" s="71" t="str">
        <f t="shared" si="16"/>
        <v/>
      </c>
      <c r="CL42" s="70" t="str">
        <f>IF($AF42="○",(VLOOKUP($CE42,参照データ!$D$65:$J$82,5,0)),"")</f>
        <v/>
      </c>
      <c r="CM42" s="71" t="str">
        <f t="shared" si="6"/>
        <v/>
      </c>
      <c r="CN42" s="70" t="str">
        <f>IF($AH42="○",(VLOOKUP($CE42,参照データ!$D$65:$J$82,6,0)),"")</f>
        <v/>
      </c>
      <c r="CO42" s="71" t="str">
        <f t="shared" si="17"/>
        <v/>
      </c>
      <c r="CP42" s="33" t="str">
        <f t="shared" si="18"/>
        <v/>
      </c>
      <c r="CQ42" s="32" t="str">
        <f t="shared" si="19"/>
        <v/>
      </c>
      <c r="CR42" s="71" t="str">
        <f t="shared" si="20"/>
        <v/>
      </c>
      <c r="CS42" s="681">
        <v>16</v>
      </c>
      <c r="CT42" s="79" t="s">
        <v>115</v>
      </c>
      <c r="CU42" s="80" t="str">
        <f t="shared" si="21"/>
        <v/>
      </c>
      <c r="CV42" s="683" t="e">
        <f>IF($CU42&gt;$CU43,VLOOKUP($CU42,参照データ!$D$65:$J$82,7,0),VLOOKUP($CU43,参照データ!$D$65:$J$82,7,0))</f>
        <v>#N/A</v>
      </c>
      <c r="CW42" s="308" t="str">
        <f>IFERROR(VLOOKUP($CV42,参照データ!$J$65:$M$82,4,0),"")</f>
        <v/>
      </c>
      <c r="CX42" s="70"/>
      <c r="CY42" s="172" t="str">
        <f t="shared" si="22"/>
        <v/>
      </c>
      <c r="DA42" s="32"/>
      <c r="DB42" s="161" t="str">
        <f t="shared" si="23"/>
        <v/>
      </c>
      <c r="DC42" s="743">
        <v>16</v>
      </c>
      <c r="DD42" s="166" t="s">
        <v>115</v>
      </c>
      <c r="DE42" s="167" t="str">
        <f t="shared" si="44"/>
        <v/>
      </c>
      <c r="DF42" s="741" t="str">
        <f>IF(OR(DE42="",DE43=""),"",IF(DE42&gt;DE43,DE42,DE43))</f>
        <v/>
      </c>
      <c r="DG42" t="str">
        <f>IF($DH42="","",DATEDIF($AZ42,参照データ!$D$19,"Y"))</f>
        <v/>
      </c>
      <c r="DH42" s="253" t="str">
        <f>IFERROR(IF($BA42="男子",VLOOKUP($DO42,参照データ!$D$88:$E$117,2,0),$DO42),0)</f>
        <v/>
      </c>
      <c r="DI42" s="84" t="str">
        <f>IF($Z42="選手権",(VLOOKUP($DH42,参照データ!$D$88:$K$117,3,0)),"")</f>
        <v/>
      </c>
      <c r="DJ42" s="85" t="str">
        <f t="shared" si="7"/>
        <v/>
      </c>
      <c r="DK42" s="84" t="str">
        <f>IF($AB42="選手権",(VLOOKUP($DH42,参照データ!$D$88:$K$117,4,0)),"")</f>
        <v/>
      </c>
      <c r="DL42" s="85" t="str">
        <f t="shared" si="8"/>
        <v/>
      </c>
      <c r="DM42" s="84" t="str">
        <f>IF($AD42="選手権",(VLOOKUP($DH42,参照データ!$D$88:$K$117,5,0)),"")</f>
        <v/>
      </c>
      <c r="DN42" s="85" t="str">
        <f t="shared" si="9"/>
        <v/>
      </c>
      <c r="DO42" s="53" t="str">
        <f>IF(AND($AZ42&gt;=参照データ!$C$90,$AZ42&lt;=参照データ!$C$88),1,IF(AND($AZ42&gt;=参照データ!$C$93,$AZ42&lt;=参照データ!$C$91),2,IF(AND($AZ42&gt;=参照データ!$C$99,$AZ42&lt;=参照データ!$C$97),3,IF(AND($AZ42&gt;=参照データ!$C$105,$AZ42&lt;=参照データ!$C$103),4,IF(AND($AZ42&gt;=参照データ!$C$111,$AZ42&lt;=参照データ!$C$109),5,IF(AND($AZ42&gt;0,$AZ42&lt;=参照データ!$C$112),6,""))))))</f>
        <v/>
      </c>
      <c r="DP42" s="84" t="str">
        <f>IF($AF42="選手権",(VLOOKUP($DO42,参照データ!$D$88:$K$117,6,0)),"")</f>
        <v/>
      </c>
      <c r="DQ42" s="85" t="str">
        <f t="shared" si="10"/>
        <v/>
      </c>
      <c r="DR42" s="84" t="str">
        <f>IF($AH42="選手権",(VLOOKUP($DO42,参照データ!$D$88:$K$117,7,0)),"")</f>
        <v/>
      </c>
      <c r="DS42" s="85" t="str">
        <f t="shared" si="24"/>
        <v/>
      </c>
      <c r="DT42" s="33" t="str">
        <f t="shared" si="25"/>
        <v/>
      </c>
      <c r="DU42" s="32" t="str">
        <f t="shared" si="26"/>
        <v/>
      </c>
      <c r="DV42" s="85" t="str">
        <f t="shared" si="27"/>
        <v/>
      </c>
      <c r="DW42" s="736">
        <v>16</v>
      </c>
      <c r="DX42" s="93" t="s">
        <v>115</v>
      </c>
      <c r="DY42" s="94" t="str">
        <f t="shared" si="37"/>
        <v/>
      </c>
      <c r="DZ42" s="737" t="e">
        <f>IF($DY42&gt;$DY43,VLOOKUP($DY42,参照データ!$D$88:$K$117,8,0),VLOOKUP($DY43,参照データ!$D$88:$K$117,8,0))</f>
        <v>#N/A</v>
      </c>
      <c r="EA42" s="312" t="str">
        <f>IFERROR(VLOOKUP($DZ42,参照データ!$K$88:$O$117,5,0),"")</f>
        <v/>
      </c>
      <c r="EC42" s="491" t="str">
        <f t="shared" si="28"/>
        <v/>
      </c>
      <c r="EH42" s="35">
        <f>(COUNTIF($J42:$O42,"&lt;&gt;"))*参照データ!$E$3</f>
        <v>0</v>
      </c>
      <c r="EI42" s="219" t="str">
        <f>IF(P42="○",参照データ!$E$5,"")</f>
        <v/>
      </c>
      <c r="EJ42" s="219" t="str">
        <f>IF($Y42="○",参照データ!$E$4,"")</f>
        <v/>
      </c>
      <c r="EK42" s="18">
        <f>(SUM(COUNTIF($R42:$V42,{"入門","初級"}))*参照データ!$E$9)+(SUM(COUNTIF($R42:$V42,{"中級","上級"})*参照データ!$E$10))</f>
        <v>0</v>
      </c>
      <c r="EL42" s="18">
        <f>IFERROR(VLOOKUP($W42,参照データ!$D$9:$J$11,7,0),0)</f>
        <v>0</v>
      </c>
      <c r="EM42" s="18">
        <f>((COUNTIF($Z42:$AH42,"○"))*参照データ!$E$12)</f>
        <v>0</v>
      </c>
      <c r="EN42" s="18" t="str">
        <f>(IF($AJ42="○",参照データ!$J$12,""))</f>
        <v/>
      </c>
      <c r="EQ42" s="18">
        <f>((COUNTIF($Z42:$AH42,"選手権"))*参照データ!$E$13)</f>
        <v>0</v>
      </c>
      <c r="ER42" s="18" t="str">
        <f>(IF($AJ42="選手権",参照データ!$J$13,""))</f>
        <v/>
      </c>
      <c r="ES42" s="18">
        <f>(COUNTIF($AQ42:$AR42,"&lt;&gt;"))*参照データ!$H$3</f>
        <v>0</v>
      </c>
      <c r="ET42" s="18"/>
      <c r="EU42" s="18" t="str">
        <f>IF(AV42&lt;&gt;"",参照データ!$H$15,"")</f>
        <v/>
      </c>
      <c r="EV42" s="98" cm="1">
        <f t="array" ref="EV42">SUM(IF(ISERROR(EH42:EU42),0,(EH42:EU42)))</f>
        <v>0</v>
      </c>
      <c r="EW42" s="18"/>
      <c r="EX42" s="18">
        <f t="shared" si="11"/>
        <v>0</v>
      </c>
      <c r="EY42" s="18">
        <f t="shared" si="29"/>
        <v>0</v>
      </c>
      <c r="EZ42" s="18">
        <f t="shared" si="38"/>
        <v>0</v>
      </c>
      <c r="FA42" s="18">
        <f t="shared" si="30"/>
        <v>0</v>
      </c>
      <c r="FB42" s="18">
        <f t="shared" si="31"/>
        <v>0</v>
      </c>
      <c r="FC42" s="18">
        <f t="shared" si="32"/>
        <v>0</v>
      </c>
      <c r="FD42" s="18">
        <f t="shared" si="12"/>
        <v>0</v>
      </c>
      <c r="FE42" t="str">
        <f t="shared" si="33"/>
        <v/>
      </c>
    </row>
    <row r="43" spans="1:161" ht="18.75" customHeight="1" x14ac:dyDescent="0.2">
      <c r="A43">
        <v>32</v>
      </c>
      <c r="B43" s="14" t="str">
        <f>IF(D43="","",IF(D43="重複","",COUNTIF(B$12:$B42,"&gt;0")+1))</f>
        <v/>
      </c>
      <c r="C43" s="464"/>
      <c r="D43" s="177"/>
      <c r="E43" s="177"/>
      <c r="F43" s="31"/>
      <c r="G43" s="41"/>
      <c r="H43" s="351">
        <f t="shared" si="34"/>
        <v>0</v>
      </c>
      <c r="I43" s="193" t="str">
        <f>IF($AZ43=0,"",DATEDIF($AZ43,参照データ!$D$16,"Y"))</f>
        <v/>
      </c>
      <c r="J43" s="36"/>
      <c r="K43" s="36"/>
      <c r="L43" s="36"/>
      <c r="M43" s="36"/>
      <c r="N43" s="36"/>
      <c r="O43" s="42"/>
      <c r="P43" s="345"/>
      <c r="Q43" s="345"/>
      <c r="R43" s="43"/>
      <c r="S43" s="244"/>
      <c r="T43" s="244"/>
      <c r="U43" s="244"/>
      <c r="V43" s="245"/>
      <c r="W43" s="248"/>
      <c r="X43" s="250"/>
      <c r="Y43" s="345"/>
      <c r="Z43" s="388"/>
      <c r="AA43" s="346" t="str">
        <f>IF($Z43="○",VLOOKUP($CE43,参照データ!$D$65:$M$82,9,0),IF($Z43="選手権",VLOOKUP($DH43,参照データ!$D$88:$O$117,10,0),""))</f>
        <v/>
      </c>
      <c r="AB43" s="388"/>
      <c r="AC43" s="346" t="str">
        <f>IF($AB43="○",VLOOKUP($CE43,参照データ!$D$65:$M$82,10,0),IF($AB43="選手権",VLOOKUP($DH43,参照データ!$D$88:$O$117,11,0),""))</f>
        <v/>
      </c>
      <c r="AD43" s="388"/>
      <c r="AE43" s="346" t="str">
        <f>IF($AD43="○",VLOOKUP($CE43,参照データ!$D$65:$M$82,10,0),IF($AD43="選手権",VLOOKUP($DH43,参照データ!$D$88:$O$117,11,0),""))</f>
        <v/>
      </c>
      <c r="AF43" s="388"/>
      <c r="AG43" s="346" t="str">
        <f>IF($AF43="○",VLOOKUP($CE43,参照データ!$D$65:$M$82,10,0),IF($AF43="選手権",VLOOKUP($DO43,参照データ!$D$88:$O$117,12,0),""))</f>
        <v/>
      </c>
      <c r="AH43" s="388"/>
      <c r="AI43" s="346" t="str">
        <f>IF($AH43="○",VLOOKUP($CE43,参照データ!$D$65:$M$82,10,0),IF($AH43="選手権",VLOOKUP($DO43,参照データ!$D$88:$O$117,12,0),""))</f>
        <v/>
      </c>
      <c r="AJ43" s="388"/>
      <c r="AK43" s="511"/>
      <c r="AL43" s="346" t="str">
        <f t="shared" si="3"/>
        <v/>
      </c>
      <c r="AM43" s="392"/>
      <c r="AN43" s="391"/>
      <c r="AO43" s="391"/>
      <c r="AP43" s="447"/>
      <c r="AQ43" s="321"/>
      <c r="AR43" s="481"/>
      <c r="AS43" s="393"/>
      <c r="AT43" s="483"/>
      <c r="AU43" s="393"/>
      <c r="AV43" s="529"/>
      <c r="AW43" s="483"/>
      <c r="AZ43">
        <f t="shared" si="50"/>
        <v>0</v>
      </c>
      <c r="BA43" t="str">
        <f t="shared" si="35"/>
        <v/>
      </c>
      <c r="BB43" s="132"/>
      <c r="BD43" s="513" t="str">
        <f t="shared" si="4"/>
        <v/>
      </c>
      <c r="BE43" s="53" t="str">
        <f>IF($AZ43=0,"",IF(AND($I43&gt;=6,$I43&lt;=19),VLOOKUP($I43,参照データ!$B$24:$C$37,2,0),IF($I43&lt;6,6,19)))</f>
        <v/>
      </c>
      <c r="BF43" s="155" t="str">
        <f>IF($J43="○",VLOOKUP($BE43,参照データ!$C$24:$I$37,2,0),"")</f>
        <v/>
      </c>
      <c r="BG43" s="146" t="str">
        <f>IF($K43="○",VLOOKUP($BE43,参照データ!$C$24:$I$37,3,0),"")</f>
        <v/>
      </c>
      <c r="BH43" s="146" t="str">
        <f>IF($L43="○",VLOOKUP($BE43,参照データ!$C$24:$I$37,4,0),"")</f>
        <v/>
      </c>
      <c r="BI43" s="146" t="str">
        <f>IF($M43="○",VLOOKUP($BE43,参照データ!$C$24:$I$37,5,0),"")</f>
        <v/>
      </c>
      <c r="BJ43" s="146" t="str">
        <f>IF($N43="20日",VLOOKUP($BE43,参照データ!$C$24:$I$37,6,0),"")</f>
        <v/>
      </c>
      <c r="BK43" s="156" t="str">
        <f>IF($O43="20日",VLOOKUP($BE43,参照データ!$C$24:$I$37,7,0),"")</f>
        <v/>
      </c>
      <c r="BL43" s="155" t="str">
        <f>IF($J43="21日",VLOOKUP($BE43,参照データ!$C$24:$I$37,2,0),"")</f>
        <v/>
      </c>
      <c r="BM43" s="146" t="str">
        <f>IF($K43="21日",VLOOKUP($BE43,参照データ!$C$24:$I$37,3,0),"")</f>
        <v/>
      </c>
      <c r="BN43" s="146" t="str">
        <f>IF($L43="21日",VLOOKUP($BE43,参照データ!$C$24:$I$37,4,0),"")</f>
        <v/>
      </c>
      <c r="BO43" s="146" t="str">
        <f>IF($M43="21日",VLOOKUP($BE43,参照データ!$C$24:$I$37,5,0),"")</f>
        <v/>
      </c>
      <c r="BP43" s="146" t="str">
        <f>IF($N43="21日",VLOOKUP($BE43,参照データ!$C$24:$I$37,6,0),"")</f>
        <v/>
      </c>
      <c r="BQ43" s="156" t="str">
        <f>IF($O43="21日",VLOOKUP($BE43,参照データ!$C$24:$I$37,7,0),"")</f>
        <v/>
      </c>
      <c r="BR43" s="223" t="str">
        <f t="shared" si="42"/>
        <v/>
      </c>
      <c r="BS43" s="154" t="str">
        <f>IF($R43="入門",VLOOKUP($BE43,参照データ!$C$43:$U$56,2,0),IF($R43="初級",VLOOKUP($BE43,参照データ!$C$43:$U$56,3,0),IF($R43="中級",VLOOKUP($BE43,参照データ!$C$43:$U$56,4,0),IF($R43="上級",VLOOKUP($BE43,参照データ!$C$43:$U$56,5,0),""))))</f>
        <v/>
      </c>
      <c r="BT43" s="154" t="str">
        <f>IF($S43="初級",VLOOKUP($BE43,参照データ!$C$43:$U$56,6,0),IF($S43="中級",VLOOKUP($BE43,参照データ!$C$43:$U$56,7,0),IF($S43="上級",VLOOKUP($BE43,参照データ!$C$43:$U$56,8,0),"")))</f>
        <v/>
      </c>
      <c r="BU43" s="154" t="str">
        <f>IF($T43="初級",VLOOKUP($BE43,参照データ!$C$43:$U$56,9,0),IF($T43="上級",VLOOKUP($BE43,参照データ!$C$43:$U$56,10,0),""))</f>
        <v/>
      </c>
      <c r="BV43" s="154" t="str">
        <f>IF($U43="初級",VLOOKUP($BE43,参照データ!$C$43:$U$56,11,0),IF($U43="中級",VLOOKUP($BE43,参照データ!$C$43:$U$56,12,0),IF($U43="上級",VLOOKUP($BE43,参照データ!$C$43:$U$56,13,0),"")))</f>
        <v/>
      </c>
      <c r="BW43" s="154" t="str">
        <f>IF($V43="初級",VLOOKUP($BE43,参照データ!$C$43:$U$56,14,0),IF($V43="中級",VLOOKUP($BE43,参照データ!$C$43:$U$56,15,0),IF($V43="上級",VLOOKUP($BE43,参照データ!$C$43:$U$56,16,0),"")))</f>
        <v/>
      </c>
      <c r="BX43" s="47" t="str">
        <f t="shared" si="5"/>
        <v/>
      </c>
      <c r="BY43" s="47" t="str">
        <f>IF($W43="初級",VLOOKUP($BE43,参照データ!$C$43:$U$56,17,0),IF($W43="中級",VLOOKUP($BE43,参照データ!$C$43:$U$56,18,0),IF($W43="上級",VLOOKUP($BE43,参照データ!$C$43:$U$56,19,0),"")))</f>
        <v/>
      </c>
      <c r="BZ43" s="687"/>
      <c r="CA43" s="65" t="s">
        <v>255</v>
      </c>
      <c r="CB43" s="135" t="str">
        <f t="shared" si="13"/>
        <v/>
      </c>
      <c r="CC43" s="689"/>
      <c r="CE43" s="53" t="str">
        <f>IF(AND($AZ43&gt;=参照データ!$C$67,$AZ43&lt;=参照データ!$C$65),1,IF(AND($AZ43&gt;=参照データ!$C$70,$AZ43&lt;=参照データ!$C$68),2,IF(AND($AZ43&gt;=参照データ!$C$73,$AZ43&lt;=参照データ!$C$71),3,IF(AND($AZ43&gt;=参照データ!$C$76,$AZ43&lt;=参照データ!$C$74),4,IF(AND($AZ43&gt;=参照データ!$C$79,$AZ43&lt;=参照データ!$C$77),5,IF(AND($AZ43&gt;0,$AZ43&lt;=参照データ!$C$80),6,""))))))</f>
        <v/>
      </c>
      <c r="CF43" s="141" t="str">
        <f>IF($Z43="○",(VLOOKUP($CE43,参照データ!$D$65:$J$82,2,0)),"")</f>
        <v/>
      </c>
      <c r="CG43" s="71" t="str">
        <f t="shared" si="14"/>
        <v/>
      </c>
      <c r="CH43" s="70" t="str">
        <f>IF($AB43="○",(VLOOKUP($CE43,参照データ!$D$65:$J$82,3,0)),"")</f>
        <v/>
      </c>
      <c r="CI43" s="71" t="str">
        <f t="shared" si="15"/>
        <v/>
      </c>
      <c r="CJ43" s="70" t="str">
        <f>IF($AD43="○",(VLOOKUP($CE43,参照データ!$D$65:$J$82,4,0)),"")</f>
        <v/>
      </c>
      <c r="CK43" s="71" t="str">
        <f t="shared" si="16"/>
        <v/>
      </c>
      <c r="CL43" s="70" t="str">
        <f>IF($AF43="○",(VLOOKUP($CE43,参照データ!$D$65:$J$82,5,0)),"")</f>
        <v/>
      </c>
      <c r="CM43" s="71" t="str">
        <f t="shared" si="6"/>
        <v/>
      </c>
      <c r="CN43" s="70" t="str">
        <f>IF($AH43="○",(VLOOKUP($CE43,参照データ!$D$65:$J$82,6,0)),"")</f>
        <v/>
      </c>
      <c r="CO43" s="71" t="str">
        <f t="shared" si="17"/>
        <v/>
      </c>
      <c r="CP43" s="33" t="str">
        <f t="shared" si="18"/>
        <v/>
      </c>
      <c r="CQ43" s="32" t="str">
        <f t="shared" si="19"/>
        <v/>
      </c>
      <c r="CR43" s="71" t="str">
        <f t="shared" si="20"/>
        <v/>
      </c>
      <c r="CS43" s="682"/>
      <c r="CT43" s="77" t="s">
        <v>116</v>
      </c>
      <c r="CU43" s="78" t="str">
        <f t="shared" si="21"/>
        <v/>
      </c>
      <c r="CV43" s="684"/>
      <c r="CW43" s="308" t="str">
        <f t="shared" ref="CW43" si="79">$CW42</f>
        <v/>
      </c>
      <c r="CX43" s="70"/>
      <c r="CY43" s="172" t="str">
        <f t="shared" si="22"/>
        <v/>
      </c>
      <c r="DA43" s="32"/>
      <c r="DB43" s="161" t="str">
        <f t="shared" si="23"/>
        <v/>
      </c>
      <c r="DC43" s="744"/>
      <c r="DD43" s="164" t="s">
        <v>116</v>
      </c>
      <c r="DE43" s="165" t="str">
        <f t="shared" si="44"/>
        <v/>
      </c>
      <c r="DF43" s="742"/>
      <c r="DG43" t="str">
        <f>IF($DH43="","",DATEDIF($AZ43,参照データ!$D$19,"Y"))</f>
        <v/>
      </c>
      <c r="DH43" s="253" t="str">
        <f>IFERROR(IF($BA43="男子",VLOOKUP($DO43,参照データ!$D$88:$E$117,2,0),$DO43),0)</f>
        <v/>
      </c>
      <c r="DI43" s="84" t="str">
        <f>IF($Z43="選手権",(VLOOKUP($DH43,参照データ!$D$88:$K$117,3,0)),"")</f>
        <v/>
      </c>
      <c r="DJ43" s="85" t="str">
        <f t="shared" si="7"/>
        <v/>
      </c>
      <c r="DK43" s="84" t="str">
        <f>IF($AB43="選手権",(VLOOKUP($DH43,参照データ!$D$88:$K$117,4,0)),"")</f>
        <v/>
      </c>
      <c r="DL43" s="85" t="str">
        <f t="shared" si="8"/>
        <v/>
      </c>
      <c r="DM43" s="84" t="str">
        <f>IF($AD43="選手権",(VLOOKUP($DH43,参照データ!$D$88:$K$117,5,0)),"")</f>
        <v/>
      </c>
      <c r="DN43" s="85" t="str">
        <f t="shared" si="9"/>
        <v/>
      </c>
      <c r="DO43" s="53" t="str">
        <f>IF(AND($AZ43&gt;=参照データ!$C$90,$AZ43&lt;=参照データ!$C$88),1,IF(AND($AZ43&gt;=参照データ!$C$93,$AZ43&lt;=参照データ!$C$91),2,IF(AND($AZ43&gt;=参照データ!$C$99,$AZ43&lt;=参照データ!$C$97),3,IF(AND($AZ43&gt;=参照データ!$C$105,$AZ43&lt;=参照データ!$C$103),4,IF(AND($AZ43&gt;=参照データ!$C$111,$AZ43&lt;=参照データ!$C$109),5,IF(AND($AZ43&gt;0,$AZ43&lt;=参照データ!$C$112),6,""))))))</f>
        <v/>
      </c>
      <c r="DP43" s="84" t="str">
        <f>IF($AF43="選手権",(VLOOKUP($DO43,参照データ!$D$88:$K$117,6,0)),"")</f>
        <v/>
      </c>
      <c r="DQ43" s="85" t="str">
        <f t="shared" si="10"/>
        <v/>
      </c>
      <c r="DR43" s="84" t="str">
        <f>IF($AH43="選手権",(VLOOKUP($DO43,参照データ!$D$88:$K$117,7,0)),"")</f>
        <v/>
      </c>
      <c r="DS43" s="85" t="str">
        <f t="shared" si="24"/>
        <v/>
      </c>
      <c r="DT43" s="33" t="str">
        <f t="shared" si="25"/>
        <v/>
      </c>
      <c r="DU43" s="32" t="str">
        <f t="shared" si="26"/>
        <v/>
      </c>
      <c r="DV43" s="85" t="str">
        <f t="shared" si="27"/>
        <v/>
      </c>
      <c r="DW43" s="733"/>
      <c r="DX43" s="91" t="s">
        <v>116</v>
      </c>
      <c r="DY43" s="92" t="str">
        <f t="shared" si="37"/>
        <v/>
      </c>
      <c r="DZ43" s="735"/>
      <c r="EA43" s="312" t="str">
        <f t="shared" si="65"/>
        <v/>
      </c>
      <c r="EC43" s="491" t="str">
        <f t="shared" si="28"/>
        <v/>
      </c>
      <c r="EH43" s="35">
        <f>(COUNTIF($J43:$O43,"&lt;&gt;"))*参照データ!$E$3</f>
        <v>0</v>
      </c>
      <c r="EI43" s="219" t="str">
        <f>IF(P43="○",参照データ!$E$5,"")</f>
        <v/>
      </c>
      <c r="EJ43" s="219" t="str">
        <f>IF($Y43="○",参照データ!$E$4,"")</f>
        <v/>
      </c>
      <c r="EK43" s="18">
        <f>(SUM(COUNTIF($R43:$V43,{"入門","初級"}))*参照データ!$E$9)+(SUM(COUNTIF($R43:$V43,{"中級","上級"})*参照データ!$E$10))</f>
        <v>0</v>
      </c>
      <c r="EL43" s="18">
        <f>IFERROR(VLOOKUP($W43,参照データ!$D$9:$J$11,7,0),0)</f>
        <v>0</v>
      </c>
      <c r="EM43" s="18">
        <f>((COUNTIF($Z43:$AH43,"○"))*参照データ!$E$12)</f>
        <v>0</v>
      </c>
      <c r="EN43" s="18" t="str">
        <f>(IF($AJ43="○",参照データ!$J$12,""))</f>
        <v/>
      </c>
      <c r="EQ43" s="18">
        <f>((COUNTIF($Z43:$AH43,"選手権"))*参照データ!$E$13)</f>
        <v>0</v>
      </c>
      <c r="ER43" s="18" t="str">
        <f>(IF($AJ43="選手権",参照データ!$J$13,""))</f>
        <v/>
      </c>
      <c r="ES43" s="18">
        <f>(COUNTIF($AQ43:$AR43,"&lt;&gt;"))*参照データ!$H$3</f>
        <v>0</v>
      </c>
      <c r="ET43" s="18"/>
      <c r="EU43" s="18" t="str">
        <f>IF(AV43&lt;&gt;"",参照データ!$H$15,"")</f>
        <v/>
      </c>
      <c r="EV43" s="98" cm="1">
        <f t="array" ref="EV43">SUM(IF(ISERROR(EH43:EU43),0,(EH43:EU43)))</f>
        <v>0</v>
      </c>
      <c r="EW43" s="18"/>
      <c r="EX43" s="18">
        <f t="shared" si="11"/>
        <v>0</v>
      </c>
      <c r="EY43" s="18">
        <f t="shared" si="29"/>
        <v>0</v>
      </c>
      <c r="EZ43" s="18">
        <f t="shared" si="38"/>
        <v>0</v>
      </c>
      <c r="FA43" s="18">
        <f t="shared" si="30"/>
        <v>0</v>
      </c>
      <c r="FB43" s="18">
        <f t="shared" si="31"/>
        <v>0</v>
      </c>
      <c r="FC43" s="18">
        <f t="shared" si="32"/>
        <v>0</v>
      </c>
      <c r="FD43" s="18">
        <f t="shared" si="12"/>
        <v>0</v>
      </c>
      <c r="FE43" t="str">
        <f t="shared" si="33"/>
        <v/>
      </c>
    </row>
    <row r="44" spans="1:161" ht="18.75" customHeight="1" x14ac:dyDescent="0.2">
      <c r="A44">
        <v>33</v>
      </c>
      <c r="B44" s="14" t="str">
        <f>IF(D44="","",IF(D44="重複","",COUNTIF(B$12:$B43,"&gt;0")+1))</f>
        <v/>
      </c>
      <c r="C44" s="464"/>
      <c r="D44" s="177"/>
      <c r="E44" s="177"/>
      <c r="F44" s="31"/>
      <c r="G44" s="41"/>
      <c r="H44" s="351">
        <f t="shared" si="34"/>
        <v>0</v>
      </c>
      <c r="I44" s="193" t="str">
        <f>IF($AZ44=0,"",DATEDIF($AZ44,参照データ!$D$16,"Y"))</f>
        <v/>
      </c>
      <c r="J44" s="36"/>
      <c r="K44" s="36"/>
      <c r="L44" s="36"/>
      <c r="M44" s="36"/>
      <c r="N44" s="36"/>
      <c r="O44" s="42"/>
      <c r="P44" s="345"/>
      <c r="Q44" s="345"/>
      <c r="R44" s="43"/>
      <c r="S44" s="244"/>
      <c r="T44" s="244"/>
      <c r="U44" s="244"/>
      <c r="V44" s="245"/>
      <c r="W44" s="248"/>
      <c r="X44" s="250"/>
      <c r="Y44" s="345"/>
      <c r="Z44" s="388"/>
      <c r="AA44" s="346" t="str">
        <f>IF($Z44="○",VLOOKUP($CE44,参照データ!$D$65:$M$82,9,0),IF($Z44="選手権",VLOOKUP($DH44,参照データ!$D$88:$O$117,10,0),""))</f>
        <v/>
      </c>
      <c r="AB44" s="388"/>
      <c r="AC44" s="346" t="str">
        <f>IF($AB44="○",VLOOKUP($CE44,参照データ!$D$65:$M$82,10,0),IF($AB44="選手権",VLOOKUP($DH44,参照データ!$D$88:$O$117,11,0),""))</f>
        <v/>
      </c>
      <c r="AD44" s="388"/>
      <c r="AE44" s="346" t="str">
        <f>IF($AD44="○",VLOOKUP($CE44,参照データ!$D$65:$M$82,10,0),IF($AD44="選手権",VLOOKUP($DH44,参照データ!$D$88:$O$117,11,0),""))</f>
        <v/>
      </c>
      <c r="AF44" s="388"/>
      <c r="AG44" s="346" t="str">
        <f>IF($AF44="○",VLOOKUP($CE44,参照データ!$D$65:$M$82,10,0),IF($AF44="選手権",VLOOKUP($DO44,参照データ!$D$88:$O$117,12,0),""))</f>
        <v/>
      </c>
      <c r="AH44" s="388"/>
      <c r="AI44" s="346" t="str">
        <f>IF($AH44="○",VLOOKUP($CE44,参照データ!$D$65:$M$82,10,0),IF($AH44="選手権",VLOOKUP($DO44,参照データ!$D$88:$O$117,12,0),""))</f>
        <v/>
      </c>
      <c r="AJ44" s="388"/>
      <c r="AK44" s="511"/>
      <c r="AL44" s="346" t="str">
        <f t="shared" ref="AL44:AL71" si="80">IF($AJ44="○",VLOOKUP($AK44,$CP:$CQ,2,0),IF($AJ44="選手権",VLOOKUP($AK44,$DT:$DU,2,0),""))</f>
        <v/>
      </c>
      <c r="AM44" s="392"/>
      <c r="AN44" s="391"/>
      <c r="AO44" s="391"/>
      <c r="AP44" s="447"/>
      <c r="AQ44" s="321"/>
      <c r="AR44" s="481"/>
      <c r="AS44" s="393"/>
      <c r="AT44" s="483"/>
      <c r="AU44" s="393"/>
      <c r="AV44" s="529"/>
      <c r="AW44" s="483"/>
      <c r="AZ44">
        <f t="shared" si="50"/>
        <v>0</v>
      </c>
      <c r="BA44" t="str">
        <f t="shared" si="35"/>
        <v/>
      </c>
      <c r="BB44" s="132"/>
      <c r="BD44" s="513" t="str">
        <f t="shared" ref="BD44:BD71" si="81">IF(AZ44=0,"",IF(I44&gt;=30,"○",""))</f>
        <v/>
      </c>
      <c r="BE44" s="53" t="str">
        <f>IF($AZ44=0,"",IF(AND($I44&gt;=6,$I44&lt;=19),VLOOKUP($I44,参照データ!$B$24:$C$37,2,0),IF($I44&lt;6,6,19)))</f>
        <v/>
      </c>
      <c r="BF44" s="155" t="str">
        <f>IF($J44="○",VLOOKUP($BE44,参照データ!$C$24:$I$37,2,0),"")</f>
        <v/>
      </c>
      <c r="BG44" s="146" t="str">
        <f>IF($K44="○",VLOOKUP($BE44,参照データ!$C$24:$I$37,3,0),"")</f>
        <v/>
      </c>
      <c r="BH44" s="146" t="str">
        <f>IF($L44="○",VLOOKUP($BE44,参照データ!$C$24:$I$37,4,0),"")</f>
        <v/>
      </c>
      <c r="BI44" s="146" t="str">
        <f>IF($M44="○",VLOOKUP($BE44,参照データ!$C$24:$I$37,5,0),"")</f>
        <v/>
      </c>
      <c r="BJ44" s="146" t="str">
        <f>IF($N44="20日",VLOOKUP($BE44,参照データ!$C$24:$I$37,6,0),"")</f>
        <v/>
      </c>
      <c r="BK44" s="156" t="str">
        <f>IF($O44="20日",VLOOKUP($BE44,参照データ!$C$24:$I$37,7,0),"")</f>
        <v/>
      </c>
      <c r="BL44" s="155" t="str">
        <f>IF($J44="21日",VLOOKUP($BE44,参照データ!$C$24:$I$37,2,0),"")</f>
        <v/>
      </c>
      <c r="BM44" s="146" t="str">
        <f>IF($K44="21日",VLOOKUP($BE44,参照データ!$C$24:$I$37,3,0),"")</f>
        <v/>
      </c>
      <c r="BN44" s="146" t="str">
        <f>IF($L44="21日",VLOOKUP($BE44,参照データ!$C$24:$I$37,4,0),"")</f>
        <v/>
      </c>
      <c r="BO44" s="146" t="str">
        <f>IF($M44="21日",VLOOKUP($BE44,参照データ!$C$24:$I$37,5,0),"")</f>
        <v/>
      </c>
      <c r="BP44" s="146" t="str">
        <f>IF($N44="21日",VLOOKUP($BE44,参照データ!$C$24:$I$37,6,0),"")</f>
        <v/>
      </c>
      <c r="BQ44" s="156" t="str">
        <f>IF($O44="21日",VLOOKUP($BE44,参照データ!$C$24:$I$37,7,0),"")</f>
        <v/>
      </c>
      <c r="BR44" s="223" t="str">
        <f t="shared" si="42"/>
        <v/>
      </c>
      <c r="BS44" s="154" t="str">
        <f>IF($R44="入門",VLOOKUP($BE44,参照データ!$C$43:$U$56,2,0),IF($R44="初級",VLOOKUP($BE44,参照データ!$C$43:$U$56,3,0),IF($R44="中級",VLOOKUP($BE44,参照データ!$C$43:$U$56,4,0),IF($R44="上級",VLOOKUP($BE44,参照データ!$C$43:$U$56,5,0),""))))</f>
        <v/>
      </c>
      <c r="BT44" s="154" t="str">
        <f>IF($S44="初級",VLOOKUP($BE44,参照データ!$C$43:$U$56,6,0),IF($S44="中級",VLOOKUP($BE44,参照データ!$C$43:$U$56,7,0),IF($S44="上級",VLOOKUP($BE44,参照データ!$C$43:$U$56,8,0),"")))</f>
        <v/>
      </c>
      <c r="BU44" s="154" t="str">
        <f>IF($T44="初級",VLOOKUP($BE44,参照データ!$C$43:$U$56,9,0),IF($T44="上級",VLOOKUP($BE44,参照データ!$C$43:$U$56,10,0),""))</f>
        <v/>
      </c>
      <c r="BV44" s="154" t="str">
        <f>IF($U44="初級",VLOOKUP($BE44,参照データ!$C$43:$U$56,11,0),IF($U44="中級",VLOOKUP($BE44,参照データ!$C$43:$U$56,12,0),IF($U44="上級",VLOOKUP($BE44,参照データ!$C$43:$U$56,13,0),"")))</f>
        <v/>
      </c>
      <c r="BW44" s="154" t="str">
        <f>IF($V44="初級",VLOOKUP($BE44,参照データ!$C$43:$U$56,14,0),IF($V44="中級",VLOOKUP($BE44,参照データ!$C$43:$U$56,15,0),IF($V44="上級",VLOOKUP($BE44,参照データ!$C$43:$U$56,16,0),"")))</f>
        <v/>
      </c>
      <c r="BX44" s="47" t="str">
        <f t="shared" si="5"/>
        <v/>
      </c>
      <c r="BY44" s="47" t="str">
        <f>IF($W44="初級",VLOOKUP($BE44,参照データ!$C$43:$U$56,17,0),IF($W44="中級",VLOOKUP($BE44,参照データ!$C$43:$U$56,18,0),IF($W44="上級",VLOOKUP($BE44,参照データ!$C$43:$U$56,19,0),"")))</f>
        <v/>
      </c>
      <c r="BZ44" s="686">
        <v>17</v>
      </c>
      <c r="CA44" s="66" t="s">
        <v>256</v>
      </c>
      <c r="CB44" s="136" t="str">
        <f t="shared" si="13"/>
        <v/>
      </c>
      <c r="CC44" s="688" t="str">
        <f t="shared" ref="CC44" si="82">IF(OR($CB44="",$CB45=""),"",IF($CB44&gt;$CB45,$CB44,$CB45))</f>
        <v/>
      </c>
      <c r="CE44" s="53" t="str">
        <f>IF(AND($AZ44&gt;=参照データ!$C$67,$AZ44&lt;=参照データ!$C$65),1,IF(AND($AZ44&gt;=参照データ!$C$70,$AZ44&lt;=参照データ!$C$68),2,IF(AND($AZ44&gt;=参照データ!$C$73,$AZ44&lt;=参照データ!$C$71),3,IF(AND($AZ44&gt;=参照データ!$C$76,$AZ44&lt;=参照データ!$C$74),4,IF(AND($AZ44&gt;=参照データ!$C$79,$AZ44&lt;=参照データ!$C$77),5,IF(AND($AZ44&gt;0,$AZ44&lt;=参照データ!$C$80),6,""))))))</f>
        <v/>
      </c>
      <c r="CF44" s="141" t="str">
        <f>IF($Z44="○",(VLOOKUP($CE44,参照データ!$D$65:$J$82,2,0)),"")</f>
        <v/>
      </c>
      <c r="CG44" s="71" t="str">
        <f t="shared" si="14"/>
        <v/>
      </c>
      <c r="CH44" s="70" t="str">
        <f>IF($AB44="○",(VLOOKUP($CE44,参照データ!$D$65:$J$82,3,0)),"")</f>
        <v/>
      </c>
      <c r="CI44" s="71" t="str">
        <f t="shared" si="15"/>
        <v/>
      </c>
      <c r="CJ44" s="70" t="str">
        <f>IF($AD44="○",(VLOOKUP($CE44,参照データ!$D$65:$J$82,4,0)),"")</f>
        <v/>
      </c>
      <c r="CK44" s="71" t="str">
        <f t="shared" si="16"/>
        <v/>
      </c>
      <c r="CL44" s="70" t="str">
        <f>IF($AF44="○",(VLOOKUP($CE44,参照データ!$D$65:$J$82,5,0)),"")</f>
        <v/>
      </c>
      <c r="CM44" s="71" t="str">
        <f t="shared" si="6"/>
        <v/>
      </c>
      <c r="CN44" s="70" t="str">
        <f>IF($AH44="○",(VLOOKUP($CE44,参照データ!$D$65:$J$82,6,0)),"")</f>
        <v/>
      </c>
      <c r="CO44" s="71" t="str">
        <f t="shared" si="17"/>
        <v/>
      </c>
      <c r="CP44" s="33" t="str">
        <f t="shared" si="18"/>
        <v/>
      </c>
      <c r="CQ44" s="32" t="str">
        <f t="shared" si="19"/>
        <v/>
      </c>
      <c r="CR44" s="71" t="str">
        <f t="shared" si="20"/>
        <v/>
      </c>
      <c r="CS44" s="681">
        <v>17</v>
      </c>
      <c r="CT44" s="79" t="s">
        <v>117</v>
      </c>
      <c r="CU44" s="80" t="str">
        <f t="shared" si="21"/>
        <v/>
      </c>
      <c r="CV44" s="683" t="e">
        <f>IF($CU44&gt;$CU45,VLOOKUP($CU44,参照データ!$D$65:$J$82,7,0),VLOOKUP($CU45,参照データ!$D$65:$J$82,7,0))</f>
        <v>#N/A</v>
      </c>
      <c r="CW44" s="308" t="str">
        <f>IFERROR(VLOOKUP($CV44,参照データ!$J$65:$M$82,4,0),"")</f>
        <v/>
      </c>
      <c r="CX44" s="70"/>
      <c r="CY44" s="172" t="str">
        <f t="shared" si="22"/>
        <v/>
      </c>
      <c r="DA44" s="32"/>
      <c r="DB44" s="161" t="str">
        <f t="shared" si="23"/>
        <v/>
      </c>
      <c r="DC44" s="743">
        <v>17</v>
      </c>
      <c r="DD44" s="166" t="s">
        <v>117</v>
      </c>
      <c r="DE44" s="167" t="str">
        <f t="shared" si="44"/>
        <v/>
      </c>
      <c r="DF44" s="741" t="str">
        <f>IF(OR(DE44="",DE45=""),"",IF(DE44&gt;DE45,DE44,DE45))</f>
        <v/>
      </c>
      <c r="DG44" t="str">
        <f>IF($DH44="","",DATEDIF($AZ44,参照データ!$D$19,"Y"))</f>
        <v/>
      </c>
      <c r="DH44" s="253" t="str">
        <f>IFERROR(IF($BA44="男子",VLOOKUP($DO44,参照データ!$D$88:$E$117,2,0),$DO44),0)</f>
        <v/>
      </c>
      <c r="DI44" s="84" t="str">
        <f>IF($Z44="選手権",(VLOOKUP($DH44,参照データ!$D$88:$K$117,3,0)),"")</f>
        <v/>
      </c>
      <c r="DJ44" s="85" t="str">
        <f t="shared" ref="DJ44:DJ71" si="83">IF($DI44="","",IF($F44="","S","MS"))</f>
        <v/>
      </c>
      <c r="DK44" s="84" t="str">
        <f>IF($AB44="選手権",(VLOOKUP($DH44,参照データ!$D$88:$K$117,4,0)),"")</f>
        <v/>
      </c>
      <c r="DL44" s="85" t="str">
        <f t="shared" ref="DL44:DL71" si="84">IF($DK44="","",IF($F44="","2B","M2B"))</f>
        <v/>
      </c>
      <c r="DM44" s="84" t="str">
        <f>IF($AD44="選手権",(VLOOKUP($DH44,参照データ!$D$88:$K$117,5,0)),"")</f>
        <v/>
      </c>
      <c r="DN44" s="85" t="str">
        <f t="shared" ref="DN44:DN71" si="85">IF($DM44="","",IF($F44="","3B","M3B"))</f>
        <v/>
      </c>
      <c r="DO44" s="53" t="str">
        <f>IF(AND($AZ44&gt;=参照データ!$C$90,$AZ44&lt;=参照データ!$C$88),1,IF(AND($AZ44&gt;=参照データ!$C$93,$AZ44&lt;=参照データ!$C$91),2,IF(AND($AZ44&gt;=参照データ!$C$99,$AZ44&lt;=参照データ!$C$97),3,IF(AND($AZ44&gt;=参照データ!$C$105,$AZ44&lt;=参照データ!$C$103),4,IF(AND($AZ44&gt;=参照データ!$C$111,$AZ44&lt;=参照データ!$C$109),5,IF(AND($AZ44&gt;0,$AZ44&lt;=参照データ!$C$112),6,""))))))</f>
        <v/>
      </c>
      <c r="DP44" s="84" t="str">
        <f>IF($AF44="選手権",(VLOOKUP($DO44,参照データ!$D$88:$K$117,6,0)),"")</f>
        <v/>
      </c>
      <c r="DQ44" s="85" t="str">
        <f t="shared" si="10"/>
        <v/>
      </c>
      <c r="DR44" s="84" t="str">
        <f>IF($AH44="選手権",(VLOOKUP($DO44,参照データ!$D$88:$K$117,7,0)),"")</f>
        <v/>
      </c>
      <c r="DS44" s="85" t="str">
        <f t="shared" si="24"/>
        <v/>
      </c>
      <c r="DT44" s="33" t="str">
        <f t="shared" si="25"/>
        <v/>
      </c>
      <c r="DU44" s="32" t="str">
        <f t="shared" si="26"/>
        <v/>
      </c>
      <c r="DV44" s="85" t="str">
        <f t="shared" si="27"/>
        <v/>
      </c>
      <c r="DW44" s="736">
        <v>17</v>
      </c>
      <c r="DX44" s="93" t="s">
        <v>117</v>
      </c>
      <c r="DY44" s="94" t="str">
        <f t="shared" si="37"/>
        <v/>
      </c>
      <c r="DZ44" s="737" t="e">
        <f>IF($DY44&gt;$DY45,VLOOKUP($DY44,参照データ!$D$88:$K$117,8,0),VLOOKUP($DY45,参照データ!$D$88:$K$117,8,0))</f>
        <v>#N/A</v>
      </c>
      <c r="EA44" s="312" t="str">
        <f>IFERROR(VLOOKUP($DZ44,参照データ!$K$88:$O$117,5,0),"")</f>
        <v/>
      </c>
      <c r="EC44" s="491" t="str">
        <f t="shared" si="28"/>
        <v/>
      </c>
      <c r="EH44" s="35">
        <f>(COUNTIF($J44:$O44,"&lt;&gt;"))*参照データ!$E$3</f>
        <v>0</v>
      </c>
      <c r="EI44" s="219" t="str">
        <f>IF(P44="○",参照データ!$E$5,"")</f>
        <v/>
      </c>
      <c r="EJ44" s="219" t="str">
        <f>IF($Y44="○",参照データ!$E$4,"")</f>
        <v/>
      </c>
      <c r="EK44" s="18">
        <f>(SUM(COUNTIF($R44:$V44,{"入門","初級"}))*参照データ!$E$9)+(SUM(COUNTIF($R44:$V44,{"中級","上級"})*参照データ!$E$10))</f>
        <v>0</v>
      </c>
      <c r="EL44" s="18">
        <f>IFERROR(VLOOKUP($W44,参照データ!$D$9:$J$11,7,0),0)</f>
        <v>0</v>
      </c>
      <c r="EM44" s="18">
        <f>((COUNTIF($Z44:$AH44,"○"))*参照データ!$E$12)</f>
        <v>0</v>
      </c>
      <c r="EN44" s="18" t="str">
        <f>(IF($AJ44="○",参照データ!$J$12,""))</f>
        <v/>
      </c>
      <c r="EQ44" s="18">
        <f>((COUNTIF($Z44:$AH44,"選手権"))*参照データ!$E$13)</f>
        <v>0</v>
      </c>
      <c r="ER44" s="18" t="str">
        <f>(IF($AJ44="選手権",参照データ!$J$13,""))</f>
        <v/>
      </c>
      <c r="ES44" s="18">
        <f>(COUNTIF($AQ44:$AR44,"&lt;&gt;"))*参照データ!$H$3</f>
        <v>0</v>
      </c>
      <c r="ET44" s="18"/>
      <c r="EU44" s="18" t="str">
        <f>IF(AV44&lt;&gt;"",参照データ!$H$15,"")</f>
        <v/>
      </c>
      <c r="EV44" s="98" cm="1">
        <f t="array" ref="EV44">SUM(IF(ISERROR(EH44:EU44),0,(EH44:EU44)))</f>
        <v>0</v>
      </c>
      <c r="EW44" s="18"/>
      <c r="EX44" s="18">
        <f t="shared" ref="EX44:EX71" si="86">COUNTA($J44:$O44)</f>
        <v>0</v>
      </c>
      <c r="EY44" s="18">
        <f t="shared" si="29"/>
        <v>0</v>
      </c>
      <c r="EZ44" s="18">
        <f t="shared" si="38"/>
        <v>0</v>
      </c>
      <c r="FA44" s="18">
        <f t="shared" si="30"/>
        <v>0</v>
      </c>
      <c r="FB44" s="18">
        <f t="shared" si="31"/>
        <v>0</v>
      </c>
      <c r="FC44" s="18">
        <f t="shared" si="32"/>
        <v>0</v>
      </c>
      <c r="FD44" s="18">
        <f t="shared" si="12"/>
        <v>0</v>
      </c>
      <c r="FE44" t="str">
        <f t="shared" si="33"/>
        <v/>
      </c>
    </row>
    <row r="45" spans="1:161" ht="18.75" customHeight="1" x14ac:dyDescent="0.2">
      <c r="A45">
        <v>34</v>
      </c>
      <c r="B45" s="14" t="str">
        <f>IF(D45="","",IF(D45="重複","",COUNTIF(B$12:$B44,"&gt;0")+1))</f>
        <v/>
      </c>
      <c r="C45" s="464"/>
      <c r="D45" s="177"/>
      <c r="E45" s="177"/>
      <c r="F45" s="31"/>
      <c r="G45" s="41"/>
      <c r="H45" s="351">
        <f t="shared" si="34"/>
        <v>0</v>
      </c>
      <c r="I45" s="193" t="str">
        <f>IF($AZ45=0,"",DATEDIF($AZ45,参照データ!$D$16,"Y"))</f>
        <v/>
      </c>
      <c r="J45" s="36"/>
      <c r="K45" s="36"/>
      <c r="L45" s="36"/>
      <c r="M45" s="36"/>
      <c r="N45" s="36"/>
      <c r="O45" s="42"/>
      <c r="P45" s="345"/>
      <c r="Q45" s="345"/>
      <c r="R45" s="43"/>
      <c r="S45" s="244"/>
      <c r="T45" s="244"/>
      <c r="U45" s="244"/>
      <c r="V45" s="245"/>
      <c r="W45" s="248"/>
      <c r="X45" s="250"/>
      <c r="Y45" s="345"/>
      <c r="Z45" s="388"/>
      <c r="AA45" s="346" t="str">
        <f>IF($Z45="○",VLOOKUP($CE45,参照データ!$D$65:$M$82,9,0),IF($Z45="選手権",VLOOKUP($DH45,参照データ!$D$88:$O$117,10,0),""))</f>
        <v/>
      </c>
      <c r="AB45" s="388"/>
      <c r="AC45" s="346" t="str">
        <f>IF($AB45="○",VLOOKUP($CE45,参照データ!$D$65:$M$82,10,0),IF($AB45="選手権",VLOOKUP($DH45,参照データ!$D$88:$O$117,11,0),""))</f>
        <v/>
      </c>
      <c r="AD45" s="388"/>
      <c r="AE45" s="346" t="str">
        <f>IF($AD45="○",VLOOKUP($CE45,参照データ!$D$65:$M$82,10,0),IF($AD45="選手権",VLOOKUP($DH45,参照データ!$D$88:$O$117,11,0),""))</f>
        <v/>
      </c>
      <c r="AF45" s="388"/>
      <c r="AG45" s="346" t="str">
        <f>IF($AF45="○",VLOOKUP($CE45,参照データ!$D$65:$M$82,10,0),IF($AF45="選手権",VLOOKUP($DO45,参照データ!$D$88:$O$117,12,0),""))</f>
        <v/>
      </c>
      <c r="AH45" s="388"/>
      <c r="AI45" s="346" t="str">
        <f>IF($AH45="○",VLOOKUP($CE45,参照データ!$D$65:$M$82,10,0),IF($AH45="選手権",VLOOKUP($DO45,参照データ!$D$88:$O$117,12,0),""))</f>
        <v/>
      </c>
      <c r="AJ45" s="388"/>
      <c r="AK45" s="511"/>
      <c r="AL45" s="346" t="str">
        <f t="shared" si="80"/>
        <v/>
      </c>
      <c r="AM45" s="392"/>
      <c r="AN45" s="391"/>
      <c r="AO45" s="391"/>
      <c r="AP45" s="447"/>
      <c r="AQ45" s="321"/>
      <c r="AR45" s="481"/>
      <c r="AS45" s="393"/>
      <c r="AT45" s="483"/>
      <c r="AU45" s="393"/>
      <c r="AV45" s="529"/>
      <c r="AW45" s="483"/>
      <c r="AZ45">
        <f t="shared" si="50"/>
        <v>0</v>
      </c>
      <c r="BA45" t="str">
        <f t="shared" si="35"/>
        <v/>
      </c>
      <c r="BB45" s="132"/>
      <c r="BD45" s="513" t="str">
        <f t="shared" si="81"/>
        <v/>
      </c>
      <c r="BE45" s="53" t="str">
        <f>IF($AZ45=0,"",IF(AND($I45&gt;=6,$I45&lt;=19),VLOOKUP($I45,参照データ!$B$24:$C$37,2,0),IF($I45&lt;6,6,19)))</f>
        <v/>
      </c>
      <c r="BF45" s="155" t="str">
        <f>IF($J45="○",VLOOKUP($BE45,参照データ!$C$24:$I$37,2,0),"")</f>
        <v/>
      </c>
      <c r="BG45" s="146" t="str">
        <f>IF($K45="○",VLOOKUP($BE45,参照データ!$C$24:$I$37,3,0),"")</f>
        <v/>
      </c>
      <c r="BH45" s="146" t="str">
        <f>IF($L45="○",VLOOKUP($BE45,参照データ!$C$24:$I$37,4,0),"")</f>
        <v/>
      </c>
      <c r="BI45" s="146" t="str">
        <f>IF($M45="○",VLOOKUP($BE45,参照データ!$C$24:$I$37,5,0),"")</f>
        <v/>
      </c>
      <c r="BJ45" s="146" t="str">
        <f>IF($N45="20日",VLOOKUP($BE45,参照データ!$C$24:$I$37,6,0),"")</f>
        <v/>
      </c>
      <c r="BK45" s="156" t="str">
        <f>IF($O45="20日",VLOOKUP($BE45,参照データ!$C$24:$I$37,7,0),"")</f>
        <v/>
      </c>
      <c r="BL45" s="155" t="str">
        <f>IF($J45="21日",VLOOKUP($BE45,参照データ!$C$24:$I$37,2,0),"")</f>
        <v/>
      </c>
      <c r="BM45" s="146" t="str">
        <f>IF($K45="21日",VLOOKUP($BE45,参照データ!$C$24:$I$37,3,0),"")</f>
        <v/>
      </c>
      <c r="BN45" s="146" t="str">
        <f>IF($L45="21日",VLOOKUP($BE45,参照データ!$C$24:$I$37,4,0),"")</f>
        <v/>
      </c>
      <c r="BO45" s="146" t="str">
        <f>IF($M45="21日",VLOOKUP($BE45,参照データ!$C$24:$I$37,5,0),"")</f>
        <v/>
      </c>
      <c r="BP45" s="146" t="str">
        <f>IF($N45="21日",VLOOKUP($BE45,参照データ!$C$24:$I$37,6,0),"")</f>
        <v/>
      </c>
      <c r="BQ45" s="156" t="str">
        <f>IF($O45="21日",VLOOKUP($BE45,参照データ!$C$24:$I$37,7,0),"")</f>
        <v/>
      </c>
      <c r="BR45" s="223" t="str">
        <f t="shared" si="42"/>
        <v/>
      </c>
      <c r="BS45" s="154" t="str">
        <f>IF($R45="入門",VLOOKUP($BE45,参照データ!$C$43:$U$56,2,0),IF($R45="初級",VLOOKUP($BE45,参照データ!$C$43:$U$56,3,0),IF($R45="中級",VLOOKUP($BE45,参照データ!$C$43:$U$56,4,0),IF($R45="上級",VLOOKUP($BE45,参照データ!$C$43:$U$56,5,0),""))))</f>
        <v/>
      </c>
      <c r="BT45" s="154" t="str">
        <f>IF($S45="初級",VLOOKUP($BE45,参照データ!$C$43:$U$56,6,0),IF($S45="中級",VLOOKUP($BE45,参照データ!$C$43:$U$56,7,0),IF($S45="上級",VLOOKUP($BE45,参照データ!$C$43:$U$56,8,0),"")))</f>
        <v/>
      </c>
      <c r="BU45" s="154" t="str">
        <f>IF($T45="初級",VLOOKUP($BE45,参照データ!$C$43:$U$56,9,0),IF($T45="上級",VLOOKUP($BE45,参照データ!$C$43:$U$56,10,0),""))</f>
        <v/>
      </c>
      <c r="BV45" s="154" t="str">
        <f>IF($U45="初級",VLOOKUP($BE45,参照データ!$C$43:$U$56,11,0),IF($U45="中級",VLOOKUP($BE45,参照データ!$C$43:$U$56,12,0),IF($U45="上級",VLOOKUP($BE45,参照データ!$C$43:$U$56,13,0),"")))</f>
        <v/>
      </c>
      <c r="BW45" s="154" t="str">
        <f>IF($V45="初級",VLOOKUP($BE45,参照データ!$C$43:$U$56,14,0),IF($V45="中級",VLOOKUP($BE45,参照データ!$C$43:$U$56,15,0),IF($V45="上級",VLOOKUP($BE45,参照データ!$C$43:$U$56,16,0),"")))</f>
        <v/>
      </c>
      <c r="BX45" s="47" t="str">
        <f t="shared" si="5"/>
        <v/>
      </c>
      <c r="BY45" s="47" t="str">
        <f>IF($W45="初級",VLOOKUP($BE45,参照データ!$C$43:$U$56,17,0),IF($W45="中級",VLOOKUP($BE45,参照データ!$C$43:$U$56,18,0),IF($W45="上級",VLOOKUP($BE45,参照データ!$C$43:$U$56,19,0),"")))</f>
        <v/>
      </c>
      <c r="BZ45" s="687"/>
      <c r="CA45" s="65" t="s">
        <v>257</v>
      </c>
      <c r="CB45" s="135" t="str">
        <f t="shared" si="13"/>
        <v/>
      </c>
      <c r="CC45" s="689"/>
      <c r="CE45" s="53" t="str">
        <f>IF(AND($AZ45&gt;=参照データ!$C$67,$AZ45&lt;=参照データ!$C$65),1,IF(AND($AZ45&gt;=参照データ!$C$70,$AZ45&lt;=参照データ!$C$68),2,IF(AND($AZ45&gt;=参照データ!$C$73,$AZ45&lt;=参照データ!$C$71),3,IF(AND($AZ45&gt;=参照データ!$C$76,$AZ45&lt;=参照データ!$C$74),4,IF(AND($AZ45&gt;=参照データ!$C$79,$AZ45&lt;=参照データ!$C$77),5,IF(AND($AZ45&gt;0,$AZ45&lt;=参照データ!$C$80),6,""))))))</f>
        <v/>
      </c>
      <c r="CF45" s="141" t="str">
        <f>IF($Z45="○",(VLOOKUP($CE45,参照データ!$D$65:$J$82,2,0)),"")</f>
        <v/>
      </c>
      <c r="CG45" s="71" t="str">
        <f t="shared" si="14"/>
        <v/>
      </c>
      <c r="CH45" s="70" t="str">
        <f>IF($AB45="○",(VLOOKUP($CE45,参照データ!$D$65:$J$82,3,0)),"")</f>
        <v/>
      </c>
      <c r="CI45" s="71" t="str">
        <f t="shared" si="15"/>
        <v/>
      </c>
      <c r="CJ45" s="70" t="str">
        <f>IF($AD45="○",(VLOOKUP($CE45,参照データ!$D$65:$J$82,4,0)),"")</f>
        <v/>
      </c>
      <c r="CK45" s="71" t="str">
        <f t="shared" si="16"/>
        <v/>
      </c>
      <c r="CL45" s="70" t="str">
        <f>IF($AF45="○",(VLOOKUP($CE45,参照データ!$D$65:$J$82,5,0)),"")</f>
        <v/>
      </c>
      <c r="CM45" s="71" t="str">
        <f t="shared" si="6"/>
        <v/>
      </c>
      <c r="CN45" s="70" t="str">
        <f>IF($AH45="○",(VLOOKUP($CE45,参照データ!$D$65:$J$82,6,0)),"")</f>
        <v/>
      </c>
      <c r="CO45" s="71" t="str">
        <f t="shared" si="17"/>
        <v/>
      </c>
      <c r="CP45" s="33" t="str">
        <f t="shared" si="18"/>
        <v/>
      </c>
      <c r="CQ45" s="32" t="str">
        <f t="shared" si="19"/>
        <v/>
      </c>
      <c r="CR45" s="71" t="str">
        <f t="shared" si="20"/>
        <v/>
      </c>
      <c r="CS45" s="682"/>
      <c r="CT45" s="77" t="s">
        <v>118</v>
      </c>
      <c r="CU45" s="78" t="str">
        <f t="shared" si="21"/>
        <v/>
      </c>
      <c r="CV45" s="684"/>
      <c r="CW45" s="308" t="str">
        <f t="shared" ref="CW45" si="87">$CW44</f>
        <v/>
      </c>
      <c r="CX45" s="70"/>
      <c r="CY45" s="172" t="str">
        <f t="shared" si="22"/>
        <v/>
      </c>
      <c r="DA45" s="32"/>
      <c r="DB45" s="161" t="str">
        <f t="shared" si="23"/>
        <v/>
      </c>
      <c r="DC45" s="744"/>
      <c r="DD45" s="164" t="s">
        <v>118</v>
      </c>
      <c r="DE45" s="165" t="str">
        <f t="shared" si="44"/>
        <v/>
      </c>
      <c r="DF45" s="742"/>
      <c r="DG45" t="str">
        <f>IF($DH45="","",DATEDIF($AZ45,参照データ!$D$19,"Y"))</f>
        <v/>
      </c>
      <c r="DH45" s="253" t="str">
        <f>IFERROR(IF($BA45="男子",VLOOKUP($DO45,参照データ!$D$88:$E$117,2,0),$DO45),0)</f>
        <v/>
      </c>
      <c r="DI45" s="84" t="str">
        <f>IF($Z45="選手権",(VLOOKUP($DH45,参照データ!$D$88:$K$117,3,0)),"")</f>
        <v/>
      </c>
      <c r="DJ45" s="85" t="str">
        <f t="shared" si="83"/>
        <v/>
      </c>
      <c r="DK45" s="84" t="str">
        <f>IF($AB45="選手権",(VLOOKUP($DH45,参照データ!$D$88:$K$117,4,0)),"")</f>
        <v/>
      </c>
      <c r="DL45" s="85" t="str">
        <f t="shared" si="84"/>
        <v/>
      </c>
      <c r="DM45" s="84" t="str">
        <f>IF($AD45="選手権",(VLOOKUP($DH45,参照データ!$D$88:$K$117,5,0)),"")</f>
        <v/>
      </c>
      <c r="DN45" s="85" t="str">
        <f t="shared" si="85"/>
        <v/>
      </c>
      <c r="DO45" s="53" t="str">
        <f>IF(AND($AZ45&gt;=参照データ!$C$90,$AZ45&lt;=参照データ!$C$88),1,IF(AND($AZ45&gt;=参照データ!$C$93,$AZ45&lt;=参照データ!$C$91),2,IF(AND($AZ45&gt;=参照データ!$C$99,$AZ45&lt;=参照データ!$C$97),3,IF(AND($AZ45&gt;=参照データ!$C$105,$AZ45&lt;=参照データ!$C$103),4,IF(AND($AZ45&gt;=参照データ!$C$111,$AZ45&lt;=参照データ!$C$109),5,IF(AND($AZ45&gt;0,$AZ45&lt;=参照データ!$C$112),6,""))))))</f>
        <v/>
      </c>
      <c r="DP45" s="84" t="str">
        <f>IF($AF45="選手権",(VLOOKUP($DO45,参照データ!$D$88:$K$117,6,0)),"")</f>
        <v/>
      </c>
      <c r="DQ45" s="85" t="str">
        <f t="shared" si="10"/>
        <v/>
      </c>
      <c r="DR45" s="84" t="str">
        <f>IF($AH45="選手権",(VLOOKUP($DO45,参照データ!$D$88:$K$117,7,0)),"")</f>
        <v/>
      </c>
      <c r="DS45" s="85" t="str">
        <f t="shared" si="24"/>
        <v/>
      </c>
      <c r="DT45" s="33" t="str">
        <f t="shared" si="25"/>
        <v/>
      </c>
      <c r="DU45" s="32" t="str">
        <f t="shared" si="26"/>
        <v/>
      </c>
      <c r="DV45" s="85" t="str">
        <f t="shared" si="27"/>
        <v/>
      </c>
      <c r="DW45" s="733"/>
      <c r="DX45" s="91" t="s">
        <v>118</v>
      </c>
      <c r="DY45" s="92" t="str">
        <f t="shared" si="37"/>
        <v/>
      </c>
      <c r="DZ45" s="735"/>
      <c r="EA45" s="312" t="str">
        <f t="shared" si="65"/>
        <v/>
      </c>
      <c r="EC45" s="491" t="str">
        <f t="shared" si="28"/>
        <v/>
      </c>
      <c r="EH45" s="35">
        <f>(COUNTIF($J45:$O45,"&lt;&gt;"))*参照データ!$E$3</f>
        <v>0</v>
      </c>
      <c r="EI45" s="219" t="str">
        <f>IF(P45="○",参照データ!$E$5,"")</f>
        <v/>
      </c>
      <c r="EJ45" s="219" t="str">
        <f>IF($Y45="○",参照データ!$E$4,"")</f>
        <v/>
      </c>
      <c r="EK45" s="18">
        <f>(SUM(COUNTIF($R45:$V45,{"入門","初級"}))*参照データ!$E$9)+(SUM(COUNTIF($R45:$V45,{"中級","上級"})*参照データ!$E$10))</f>
        <v>0</v>
      </c>
      <c r="EL45" s="18">
        <f>IFERROR(VLOOKUP($W45,参照データ!$D$9:$J$11,7,0),0)</f>
        <v>0</v>
      </c>
      <c r="EM45" s="18">
        <f>((COUNTIF($Z45:$AH45,"○"))*参照データ!$E$12)</f>
        <v>0</v>
      </c>
      <c r="EN45" s="18" t="str">
        <f>(IF($AJ45="○",参照データ!$J$12,""))</f>
        <v/>
      </c>
      <c r="EQ45" s="18">
        <f>((COUNTIF($Z45:$AH45,"選手権"))*参照データ!$E$13)</f>
        <v>0</v>
      </c>
      <c r="ER45" s="18" t="str">
        <f>(IF($AJ45="選手権",参照データ!$J$13,""))</f>
        <v/>
      </c>
      <c r="ES45" s="18">
        <f>(COUNTIF($AQ45:$AR45,"&lt;&gt;"))*参照データ!$H$3</f>
        <v>0</v>
      </c>
      <c r="ET45" s="18"/>
      <c r="EU45" s="18" t="str">
        <f>IF(AV45&lt;&gt;"",参照データ!$H$15,"")</f>
        <v/>
      </c>
      <c r="EV45" s="98" cm="1">
        <f t="array" ref="EV45">SUM(IF(ISERROR(EH45:EU45),0,(EH45:EU45)))</f>
        <v>0</v>
      </c>
      <c r="EW45" s="18"/>
      <c r="EX45" s="18">
        <f t="shared" si="86"/>
        <v>0</v>
      </c>
      <c r="EY45" s="18">
        <f t="shared" si="29"/>
        <v>0</v>
      </c>
      <c r="EZ45" s="18">
        <f t="shared" si="38"/>
        <v>0</v>
      </c>
      <c r="FA45" s="18">
        <f t="shared" si="30"/>
        <v>0</v>
      </c>
      <c r="FB45" s="18">
        <f t="shared" si="31"/>
        <v>0</v>
      </c>
      <c r="FC45" s="18">
        <f t="shared" si="32"/>
        <v>0</v>
      </c>
      <c r="FD45" s="18">
        <f t="shared" si="12"/>
        <v>0</v>
      </c>
      <c r="FE45" t="str">
        <f t="shared" si="33"/>
        <v/>
      </c>
    </row>
    <row r="46" spans="1:161" ht="18.75" customHeight="1" x14ac:dyDescent="0.2">
      <c r="A46">
        <v>35</v>
      </c>
      <c r="B46" s="14" t="str">
        <f>IF(D46="","",IF(D46="重複","",COUNTIF(B$12:$B45,"&gt;0")+1))</f>
        <v/>
      </c>
      <c r="C46" s="464"/>
      <c r="D46" s="177"/>
      <c r="E46" s="177"/>
      <c r="F46" s="31"/>
      <c r="G46" s="41"/>
      <c r="H46" s="351">
        <f t="shared" si="34"/>
        <v>0</v>
      </c>
      <c r="I46" s="193" t="str">
        <f>IF($AZ46=0,"",DATEDIF($AZ46,参照データ!$D$16,"Y"))</f>
        <v/>
      </c>
      <c r="J46" s="36"/>
      <c r="K46" s="36"/>
      <c r="L46" s="36"/>
      <c r="M46" s="36"/>
      <c r="N46" s="36"/>
      <c r="O46" s="42"/>
      <c r="P46" s="345"/>
      <c r="Q46" s="345"/>
      <c r="R46" s="43"/>
      <c r="S46" s="244"/>
      <c r="T46" s="244"/>
      <c r="U46" s="244"/>
      <c r="V46" s="245"/>
      <c r="W46" s="248"/>
      <c r="X46" s="250"/>
      <c r="Y46" s="345"/>
      <c r="Z46" s="388"/>
      <c r="AA46" s="346" t="str">
        <f>IF($Z46="○",VLOOKUP($CE46,参照データ!$D$65:$M$82,9,0),IF($Z46="選手権",VLOOKUP($DH46,参照データ!$D$88:$O$117,10,0),""))</f>
        <v/>
      </c>
      <c r="AB46" s="388"/>
      <c r="AC46" s="346" t="str">
        <f>IF($AB46="○",VLOOKUP($CE46,参照データ!$D$65:$M$82,10,0),IF($AB46="選手権",VLOOKUP($DH46,参照データ!$D$88:$O$117,11,0),""))</f>
        <v/>
      </c>
      <c r="AD46" s="388"/>
      <c r="AE46" s="346" t="str">
        <f>IF($AD46="○",VLOOKUP($CE46,参照データ!$D$65:$M$82,10,0),IF($AD46="選手権",VLOOKUP($DH46,参照データ!$D$88:$O$117,11,0),""))</f>
        <v/>
      </c>
      <c r="AF46" s="388"/>
      <c r="AG46" s="346" t="str">
        <f>IF($AF46="○",VLOOKUP($CE46,参照データ!$D$65:$M$82,10,0),IF($AF46="選手権",VLOOKUP($DO46,参照データ!$D$88:$O$117,12,0),""))</f>
        <v/>
      </c>
      <c r="AH46" s="388"/>
      <c r="AI46" s="346" t="str">
        <f>IF($AH46="○",VLOOKUP($CE46,参照データ!$D$65:$M$82,10,0),IF($AH46="選手権",VLOOKUP($DO46,参照データ!$D$88:$O$117,12,0),""))</f>
        <v/>
      </c>
      <c r="AJ46" s="388"/>
      <c r="AK46" s="511"/>
      <c r="AL46" s="346" t="str">
        <f t="shared" si="80"/>
        <v/>
      </c>
      <c r="AM46" s="392"/>
      <c r="AN46" s="391"/>
      <c r="AO46" s="391"/>
      <c r="AP46" s="447"/>
      <c r="AQ46" s="321"/>
      <c r="AR46" s="481"/>
      <c r="AS46" s="393"/>
      <c r="AT46" s="483"/>
      <c r="AU46" s="393"/>
      <c r="AV46" s="529"/>
      <c r="AW46" s="483"/>
      <c r="AZ46">
        <f t="shared" si="50"/>
        <v>0</v>
      </c>
      <c r="BA46" t="str">
        <f t="shared" si="35"/>
        <v/>
      </c>
      <c r="BB46" s="132"/>
      <c r="BD46" s="513" t="str">
        <f t="shared" si="81"/>
        <v/>
      </c>
      <c r="BE46" s="53" t="str">
        <f>IF($AZ46=0,"",IF(AND($I46&gt;=6,$I46&lt;=19),VLOOKUP($I46,参照データ!$B$24:$C$37,2,0),IF($I46&lt;6,6,19)))</f>
        <v/>
      </c>
      <c r="BF46" s="155" t="str">
        <f>IF($J46="○",VLOOKUP($BE46,参照データ!$C$24:$I$37,2,0),"")</f>
        <v/>
      </c>
      <c r="BG46" s="146" t="str">
        <f>IF($K46="○",VLOOKUP($BE46,参照データ!$C$24:$I$37,3,0),"")</f>
        <v/>
      </c>
      <c r="BH46" s="146" t="str">
        <f>IF($L46="○",VLOOKUP($BE46,参照データ!$C$24:$I$37,4,0),"")</f>
        <v/>
      </c>
      <c r="BI46" s="146" t="str">
        <f>IF($M46="○",VLOOKUP($BE46,参照データ!$C$24:$I$37,5,0),"")</f>
        <v/>
      </c>
      <c r="BJ46" s="146" t="str">
        <f>IF($N46="20日",VLOOKUP($BE46,参照データ!$C$24:$I$37,6,0),"")</f>
        <v/>
      </c>
      <c r="BK46" s="156" t="str">
        <f>IF($O46="20日",VLOOKUP($BE46,参照データ!$C$24:$I$37,7,0),"")</f>
        <v/>
      </c>
      <c r="BL46" s="155" t="str">
        <f>IF($J46="21日",VLOOKUP($BE46,参照データ!$C$24:$I$37,2,0),"")</f>
        <v/>
      </c>
      <c r="BM46" s="146" t="str">
        <f>IF($K46="21日",VLOOKUP($BE46,参照データ!$C$24:$I$37,3,0),"")</f>
        <v/>
      </c>
      <c r="BN46" s="146" t="str">
        <f>IF($L46="21日",VLOOKUP($BE46,参照データ!$C$24:$I$37,4,0),"")</f>
        <v/>
      </c>
      <c r="BO46" s="146" t="str">
        <f>IF($M46="21日",VLOOKUP($BE46,参照データ!$C$24:$I$37,5,0),"")</f>
        <v/>
      </c>
      <c r="BP46" s="146" t="str">
        <f>IF($N46="21日",VLOOKUP($BE46,参照データ!$C$24:$I$37,6,0),"")</f>
        <v/>
      </c>
      <c r="BQ46" s="156" t="str">
        <f>IF($O46="21日",VLOOKUP($BE46,参照データ!$C$24:$I$37,7,0),"")</f>
        <v/>
      </c>
      <c r="BR46" s="223" t="str">
        <f t="shared" si="42"/>
        <v/>
      </c>
      <c r="BS46" s="154" t="str">
        <f>IF($R46="入門",VLOOKUP($BE46,参照データ!$C$43:$U$56,2,0),IF($R46="初級",VLOOKUP($BE46,参照データ!$C$43:$U$56,3,0),IF($R46="中級",VLOOKUP($BE46,参照データ!$C$43:$U$56,4,0),IF($R46="上級",VLOOKUP($BE46,参照データ!$C$43:$U$56,5,0),""))))</f>
        <v/>
      </c>
      <c r="BT46" s="154" t="str">
        <f>IF($S46="初級",VLOOKUP($BE46,参照データ!$C$43:$U$56,6,0),IF($S46="中級",VLOOKUP($BE46,参照データ!$C$43:$U$56,7,0),IF($S46="上級",VLOOKUP($BE46,参照データ!$C$43:$U$56,8,0),"")))</f>
        <v/>
      </c>
      <c r="BU46" s="154" t="str">
        <f>IF($T46="初級",VLOOKUP($BE46,参照データ!$C$43:$U$56,9,0),IF($T46="上級",VLOOKUP($BE46,参照データ!$C$43:$U$56,10,0),""))</f>
        <v/>
      </c>
      <c r="BV46" s="154" t="str">
        <f>IF($U46="初級",VLOOKUP($BE46,参照データ!$C$43:$U$56,11,0),IF($U46="中級",VLOOKUP($BE46,参照データ!$C$43:$U$56,12,0),IF($U46="上級",VLOOKUP($BE46,参照データ!$C$43:$U$56,13,0),"")))</f>
        <v/>
      </c>
      <c r="BW46" s="154" t="str">
        <f>IF($V46="初級",VLOOKUP($BE46,参照データ!$C$43:$U$56,14,0),IF($V46="中級",VLOOKUP($BE46,参照データ!$C$43:$U$56,15,0),IF($V46="上級",VLOOKUP($BE46,参照データ!$C$43:$U$56,16,0),"")))</f>
        <v/>
      </c>
      <c r="BX46" s="47" t="str">
        <f t="shared" si="5"/>
        <v/>
      </c>
      <c r="BY46" s="47" t="str">
        <f>IF($W46="初級",VLOOKUP($BE46,参照データ!$C$43:$U$56,17,0),IF($W46="中級",VLOOKUP($BE46,参照データ!$C$43:$U$56,18,0),IF($W46="上級",VLOOKUP($BE46,参照データ!$C$43:$U$56,19,0),"")))</f>
        <v/>
      </c>
      <c r="BZ46" s="686">
        <v>18</v>
      </c>
      <c r="CA46" s="66" t="s">
        <v>258</v>
      </c>
      <c r="CB46" s="136" t="str">
        <f t="shared" si="13"/>
        <v/>
      </c>
      <c r="CC46" s="688" t="str">
        <f t="shared" ref="CC46" si="88">IF(OR($CB46="",$CB47=""),"",IF($CB46&gt;$CB47,$CB46,$CB47))</f>
        <v/>
      </c>
      <c r="CE46" s="53" t="str">
        <f>IF(AND($AZ46&gt;=参照データ!$C$67,$AZ46&lt;=参照データ!$C$65),1,IF(AND($AZ46&gt;=参照データ!$C$70,$AZ46&lt;=参照データ!$C$68),2,IF(AND($AZ46&gt;=参照データ!$C$73,$AZ46&lt;=参照データ!$C$71),3,IF(AND($AZ46&gt;=参照データ!$C$76,$AZ46&lt;=参照データ!$C$74),4,IF(AND($AZ46&gt;=参照データ!$C$79,$AZ46&lt;=参照データ!$C$77),5,IF(AND($AZ46&gt;0,$AZ46&lt;=参照データ!$C$80),6,""))))))</f>
        <v/>
      </c>
      <c r="CF46" s="141" t="str">
        <f>IF($Z46="○",(VLOOKUP($CE46,参照データ!$D$65:$J$82,2,0)),"")</f>
        <v/>
      </c>
      <c r="CG46" s="71" t="str">
        <f t="shared" si="14"/>
        <v/>
      </c>
      <c r="CH46" s="70" t="str">
        <f>IF($AB46="○",(VLOOKUP($CE46,参照データ!$D$65:$J$82,3,0)),"")</f>
        <v/>
      </c>
      <c r="CI46" s="71" t="str">
        <f t="shared" si="15"/>
        <v/>
      </c>
      <c r="CJ46" s="70" t="str">
        <f>IF($AD46="○",(VLOOKUP($CE46,参照データ!$D$65:$J$82,4,0)),"")</f>
        <v/>
      </c>
      <c r="CK46" s="71" t="str">
        <f t="shared" si="16"/>
        <v/>
      </c>
      <c r="CL46" s="70" t="str">
        <f>IF($AF46="○",(VLOOKUP($CE46,参照データ!$D$65:$J$82,5,0)),"")</f>
        <v/>
      </c>
      <c r="CM46" s="71" t="str">
        <f t="shared" si="6"/>
        <v/>
      </c>
      <c r="CN46" s="70" t="str">
        <f>IF($AH46="○",(VLOOKUP($CE46,参照データ!$D$65:$J$82,6,0)),"")</f>
        <v/>
      </c>
      <c r="CO46" s="71" t="str">
        <f t="shared" si="17"/>
        <v/>
      </c>
      <c r="CP46" s="33" t="str">
        <f t="shared" si="18"/>
        <v/>
      </c>
      <c r="CQ46" s="32" t="str">
        <f t="shared" si="19"/>
        <v/>
      </c>
      <c r="CR46" s="71" t="str">
        <f t="shared" si="20"/>
        <v/>
      </c>
      <c r="CS46" s="681">
        <v>18</v>
      </c>
      <c r="CT46" s="79" t="s">
        <v>119</v>
      </c>
      <c r="CU46" s="80" t="str">
        <f t="shared" si="21"/>
        <v/>
      </c>
      <c r="CV46" s="683" t="e">
        <f>IF($CU46&gt;$CU47,VLOOKUP($CU46,参照データ!$D$65:$J$82,7,0),VLOOKUP($CU47,参照データ!$D$65:$J$82,7,0))</f>
        <v>#N/A</v>
      </c>
      <c r="CW46" s="308" t="str">
        <f>IFERROR(VLOOKUP($CV46,参照データ!$J$65:$M$82,4,0),"")</f>
        <v/>
      </c>
      <c r="CX46" s="70"/>
      <c r="CY46" s="172" t="str">
        <f t="shared" si="22"/>
        <v/>
      </c>
      <c r="DA46" s="32"/>
      <c r="DB46" s="161" t="str">
        <f t="shared" si="23"/>
        <v/>
      </c>
      <c r="DC46" s="743">
        <v>18</v>
      </c>
      <c r="DD46" s="166" t="s">
        <v>119</v>
      </c>
      <c r="DE46" s="167" t="str">
        <f t="shared" si="44"/>
        <v/>
      </c>
      <c r="DF46" s="741" t="str">
        <f>IF(OR(DE46="",DE47=""),"",IF(DE46&gt;DE47,DE46,DE47))</f>
        <v/>
      </c>
      <c r="DG46" t="str">
        <f>IF($DH46="","",DATEDIF($AZ46,参照データ!$D$19,"Y"))</f>
        <v/>
      </c>
      <c r="DH46" s="253" t="str">
        <f>IFERROR(IF($BA46="男子",VLOOKUP($DO46,参照データ!$D$88:$E$117,2,0),$DO46),0)</f>
        <v/>
      </c>
      <c r="DI46" s="84" t="str">
        <f>IF($Z46="選手権",(VLOOKUP($DH46,参照データ!$D$88:$K$117,3,0)),"")</f>
        <v/>
      </c>
      <c r="DJ46" s="85" t="str">
        <f t="shared" si="83"/>
        <v/>
      </c>
      <c r="DK46" s="84" t="str">
        <f>IF($AB46="選手権",(VLOOKUP($DH46,参照データ!$D$88:$K$117,4,0)),"")</f>
        <v/>
      </c>
      <c r="DL46" s="85" t="str">
        <f t="shared" si="84"/>
        <v/>
      </c>
      <c r="DM46" s="84" t="str">
        <f>IF($AD46="選手権",(VLOOKUP($DH46,参照データ!$D$88:$K$117,5,0)),"")</f>
        <v/>
      </c>
      <c r="DN46" s="85" t="str">
        <f t="shared" si="85"/>
        <v/>
      </c>
      <c r="DO46" s="53" t="str">
        <f>IF(AND($AZ46&gt;=参照データ!$C$90,$AZ46&lt;=参照データ!$C$88),1,IF(AND($AZ46&gt;=参照データ!$C$93,$AZ46&lt;=参照データ!$C$91),2,IF(AND($AZ46&gt;=参照データ!$C$99,$AZ46&lt;=参照データ!$C$97),3,IF(AND($AZ46&gt;=参照データ!$C$105,$AZ46&lt;=参照データ!$C$103),4,IF(AND($AZ46&gt;=参照データ!$C$111,$AZ46&lt;=参照データ!$C$109),5,IF(AND($AZ46&gt;0,$AZ46&lt;=参照データ!$C$112),6,""))))))</f>
        <v/>
      </c>
      <c r="DP46" s="84" t="str">
        <f>IF($AF46="選手権",(VLOOKUP($DO46,参照データ!$D$88:$K$117,6,0)),"")</f>
        <v/>
      </c>
      <c r="DQ46" s="85" t="str">
        <f t="shared" si="10"/>
        <v/>
      </c>
      <c r="DR46" s="84" t="str">
        <f>IF($AH46="選手権",(VLOOKUP($DO46,参照データ!$D$88:$K$117,7,0)),"")</f>
        <v/>
      </c>
      <c r="DS46" s="85" t="str">
        <f t="shared" si="24"/>
        <v/>
      </c>
      <c r="DT46" s="33" t="str">
        <f t="shared" si="25"/>
        <v/>
      </c>
      <c r="DU46" s="32" t="str">
        <f t="shared" si="26"/>
        <v/>
      </c>
      <c r="DV46" s="85" t="str">
        <f t="shared" si="27"/>
        <v/>
      </c>
      <c r="DW46" s="736">
        <v>18</v>
      </c>
      <c r="DX46" s="93" t="s">
        <v>119</v>
      </c>
      <c r="DY46" s="94" t="str">
        <f t="shared" si="37"/>
        <v/>
      </c>
      <c r="DZ46" s="737" t="e">
        <f>IF($DY46&gt;$DY47,VLOOKUP($DY46,参照データ!$D$88:$K$117,8,0),VLOOKUP($DY47,参照データ!$D$88:$K$117,8,0))</f>
        <v>#N/A</v>
      </c>
      <c r="EA46" s="312" t="str">
        <f>IFERROR(VLOOKUP($DZ46,参照データ!$K$88:$O$117,5,0),"")</f>
        <v/>
      </c>
      <c r="EC46" s="491" t="str">
        <f t="shared" si="28"/>
        <v/>
      </c>
      <c r="EH46" s="35">
        <f>(COUNTIF($J46:$O46,"&lt;&gt;"))*参照データ!$E$3</f>
        <v>0</v>
      </c>
      <c r="EI46" s="219" t="str">
        <f>IF(P46="○",参照データ!$E$5,"")</f>
        <v/>
      </c>
      <c r="EJ46" s="219" t="str">
        <f>IF($Y46="○",参照データ!$E$4,"")</f>
        <v/>
      </c>
      <c r="EK46" s="18">
        <f>(SUM(COUNTIF($R46:$V46,{"入門","初級"}))*参照データ!$E$9)+(SUM(COUNTIF($R46:$V46,{"中級","上級"})*参照データ!$E$10))</f>
        <v>0</v>
      </c>
      <c r="EL46" s="18">
        <f>IFERROR(VLOOKUP($W46,参照データ!$D$9:$J$11,7,0),0)</f>
        <v>0</v>
      </c>
      <c r="EM46" s="18">
        <f>((COUNTIF($Z46:$AH46,"○"))*参照データ!$E$12)</f>
        <v>0</v>
      </c>
      <c r="EN46" s="18" t="str">
        <f>(IF($AJ46="○",参照データ!$J$12,""))</f>
        <v/>
      </c>
      <c r="EQ46" s="18">
        <f>((COUNTIF($Z46:$AH46,"選手権"))*参照データ!$E$13)</f>
        <v>0</v>
      </c>
      <c r="ER46" s="18" t="str">
        <f>(IF($AJ46="選手権",参照データ!$J$13,""))</f>
        <v/>
      </c>
      <c r="ES46" s="18">
        <f>(COUNTIF($AQ46:$AR46,"&lt;&gt;"))*参照データ!$H$3</f>
        <v>0</v>
      </c>
      <c r="ET46" s="18"/>
      <c r="EU46" s="18" t="str">
        <f>IF(AV46&lt;&gt;"",参照データ!$H$15,"")</f>
        <v/>
      </c>
      <c r="EV46" s="98" cm="1">
        <f t="array" ref="EV46">SUM(IF(ISERROR(EH46:EU46),0,(EH46:EU46)))</f>
        <v>0</v>
      </c>
      <c r="EW46" s="18"/>
      <c r="EX46" s="18">
        <f t="shared" si="86"/>
        <v>0</v>
      </c>
      <c r="EY46" s="18">
        <f t="shared" si="29"/>
        <v>0</v>
      </c>
      <c r="EZ46" s="18">
        <f t="shared" si="38"/>
        <v>0</v>
      </c>
      <c r="FA46" s="18">
        <f t="shared" si="30"/>
        <v>0</v>
      </c>
      <c r="FB46" s="18">
        <f t="shared" si="31"/>
        <v>0</v>
      </c>
      <c r="FC46" s="18">
        <f t="shared" si="32"/>
        <v>0</v>
      </c>
      <c r="FD46" s="18">
        <f t="shared" si="12"/>
        <v>0</v>
      </c>
      <c r="FE46" t="str">
        <f t="shared" si="33"/>
        <v/>
      </c>
    </row>
    <row r="47" spans="1:161" ht="18.75" customHeight="1" x14ac:dyDescent="0.2">
      <c r="A47">
        <v>36</v>
      </c>
      <c r="B47" s="14" t="str">
        <f>IF(D47="","",IF(D47="重複","",COUNTIF(B$12:$B46,"&gt;0")+1))</f>
        <v/>
      </c>
      <c r="C47" s="464"/>
      <c r="D47" s="177"/>
      <c r="E47" s="177"/>
      <c r="F47" s="31"/>
      <c r="G47" s="41"/>
      <c r="H47" s="351">
        <f t="shared" si="34"/>
        <v>0</v>
      </c>
      <c r="I47" s="193" t="str">
        <f>IF($AZ47=0,"",DATEDIF($AZ47,参照データ!$D$16,"Y"))</f>
        <v/>
      </c>
      <c r="J47" s="36"/>
      <c r="K47" s="36"/>
      <c r="L47" s="36"/>
      <c r="M47" s="36"/>
      <c r="N47" s="36"/>
      <c r="O47" s="42"/>
      <c r="P47" s="345"/>
      <c r="Q47" s="345"/>
      <c r="R47" s="43"/>
      <c r="S47" s="244"/>
      <c r="T47" s="244"/>
      <c r="U47" s="244"/>
      <c r="V47" s="245"/>
      <c r="W47" s="248"/>
      <c r="X47" s="250"/>
      <c r="Y47" s="345"/>
      <c r="Z47" s="388"/>
      <c r="AA47" s="346" t="str">
        <f>IF($Z47="○",VLOOKUP($CE47,参照データ!$D$65:$M$82,9,0),IF($Z47="選手権",VLOOKUP($DH47,参照データ!$D$88:$O$117,10,0),""))</f>
        <v/>
      </c>
      <c r="AB47" s="388"/>
      <c r="AC47" s="346" t="str">
        <f>IF($AB47="○",VLOOKUP($CE47,参照データ!$D$65:$M$82,10,0),IF($AB47="選手権",VLOOKUP($DH47,参照データ!$D$88:$O$117,11,0),""))</f>
        <v/>
      </c>
      <c r="AD47" s="388"/>
      <c r="AE47" s="346" t="str">
        <f>IF($AD47="○",VLOOKUP($CE47,参照データ!$D$65:$M$82,10,0),IF($AD47="選手権",VLOOKUP($DH47,参照データ!$D$88:$O$117,11,0),""))</f>
        <v/>
      </c>
      <c r="AF47" s="388"/>
      <c r="AG47" s="346" t="str">
        <f>IF($AF47="○",VLOOKUP($CE47,参照データ!$D$65:$M$82,10,0),IF($AF47="選手権",VLOOKUP($DO47,参照データ!$D$88:$O$117,12,0),""))</f>
        <v/>
      </c>
      <c r="AH47" s="388"/>
      <c r="AI47" s="346" t="str">
        <f>IF($AH47="○",VLOOKUP($CE47,参照データ!$D$65:$M$82,10,0),IF($AH47="選手権",VLOOKUP($DO47,参照データ!$D$88:$O$117,12,0),""))</f>
        <v/>
      </c>
      <c r="AJ47" s="388"/>
      <c r="AK47" s="511"/>
      <c r="AL47" s="346" t="str">
        <f t="shared" si="80"/>
        <v/>
      </c>
      <c r="AM47" s="392"/>
      <c r="AN47" s="391"/>
      <c r="AO47" s="391"/>
      <c r="AP47" s="447"/>
      <c r="AQ47" s="321"/>
      <c r="AR47" s="481"/>
      <c r="AS47" s="393"/>
      <c r="AT47" s="483"/>
      <c r="AU47" s="393"/>
      <c r="AV47" s="529"/>
      <c r="AW47" s="483"/>
      <c r="AZ47">
        <f t="shared" si="50"/>
        <v>0</v>
      </c>
      <c r="BA47" t="str">
        <f t="shared" si="35"/>
        <v/>
      </c>
      <c r="BB47" s="132"/>
      <c r="BD47" s="513" t="str">
        <f t="shared" si="81"/>
        <v/>
      </c>
      <c r="BE47" s="53" t="str">
        <f>IF($AZ47=0,"",IF(AND($I47&gt;=6,$I47&lt;=19),VLOOKUP($I47,参照データ!$B$24:$C$37,2,0),IF($I47&lt;6,6,19)))</f>
        <v/>
      </c>
      <c r="BF47" s="155" t="str">
        <f>IF($J47="○",VLOOKUP($BE47,参照データ!$C$24:$I$37,2,0),"")</f>
        <v/>
      </c>
      <c r="BG47" s="146" t="str">
        <f>IF($K47="○",VLOOKUP($BE47,参照データ!$C$24:$I$37,3,0),"")</f>
        <v/>
      </c>
      <c r="BH47" s="146" t="str">
        <f>IF($L47="○",VLOOKUP($BE47,参照データ!$C$24:$I$37,4,0),"")</f>
        <v/>
      </c>
      <c r="BI47" s="146" t="str">
        <f>IF($M47="○",VLOOKUP($BE47,参照データ!$C$24:$I$37,5,0),"")</f>
        <v/>
      </c>
      <c r="BJ47" s="146" t="str">
        <f>IF($N47="20日",VLOOKUP($BE47,参照データ!$C$24:$I$37,6,0),"")</f>
        <v/>
      </c>
      <c r="BK47" s="156" t="str">
        <f>IF($O47="20日",VLOOKUP($BE47,参照データ!$C$24:$I$37,7,0),"")</f>
        <v/>
      </c>
      <c r="BL47" s="155" t="str">
        <f>IF($J47="21日",VLOOKUP($BE47,参照データ!$C$24:$I$37,2,0),"")</f>
        <v/>
      </c>
      <c r="BM47" s="146" t="str">
        <f>IF($K47="21日",VLOOKUP($BE47,参照データ!$C$24:$I$37,3,0),"")</f>
        <v/>
      </c>
      <c r="BN47" s="146" t="str">
        <f>IF($L47="21日",VLOOKUP($BE47,参照データ!$C$24:$I$37,4,0),"")</f>
        <v/>
      </c>
      <c r="BO47" s="146" t="str">
        <f>IF($M47="21日",VLOOKUP($BE47,参照データ!$C$24:$I$37,5,0),"")</f>
        <v/>
      </c>
      <c r="BP47" s="146" t="str">
        <f>IF($N47="21日",VLOOKUP($BE47,参照データ!$C$24:$I$37,6,0),"")</f>
        <v/>
      </c>
      <c r="BQ47" s="156" t="str">
        <f>IF($O47="21日",VLOOKUP($BE47,参照データ!$C$24:$I$37,7,0),"")</f>
        <v/>
      </c>
      <c r="BR47" s="223" t="str">
        <f t="shared" si="42"/>
        <v/>
      </c>
      <c r="BS47" s="154" t="str">
        <f>IF($R47="入門",VLOOKUP($BE47,参照データ!$C$43:$U$56,2,0),IF($R47="初級",VLOOKUP($BE47,参照データ!$C$43:$U$56,3,0),IF($R47="中級",VLOOKUP($BE47,参照データ!$C$43:$U$56,4,0),IF($R47="上級",VLOOKUP($BE47,参照データ!$C$43:$U$56,5,0),""))))</f>
        <v/>
      </c>
      <c r="BT47" s="154" t="str">
        <f>IF($S47="初級",VLOOKUP($BE47,参照データ!$C$43:$U$56,6,0),IF($S47="中級",VLOOKUP($BE47,参照データ!$C$43:$U$56,7,0),IF($S47="上級",VLOOKUP($BE47,参照データ!$C$43:$U$56,8,0),"")))</f>
        <v/>
      </c>
      <c r="BU47" s="154" t="str">
        <f>IF($T47="初級",VLOOKUP($BE47,参照データ!$C$43:$U$56,9,0),IF($T47="上級",VLOOKUP($BE47,参照データ!$C$43:$U$56,10,0),""))</f>
        <v/>
      </c>
      <c r="BV47" s="154" t="str">
        <f>IF($U47="初級",VLOOKUP($BE47,参照データ!$C$43:$U$56,11,0),IF($U47="中級",VLOOKUP($BE47,参照データ!$C$43:$U$56,12,0),IF($U47="上級",VLOOKUP($BE47,参照データ!$C$43:$U$56,13,0),"")))</f>
        <v/>
      </c>
      <c r="BW47" s="154" t="str">
        <f>IF($V47="初級",VLOOKUP($BE47,参照データ!$C$43:$U$56,14,0),IF($V47="中級",VLOOKUP($BE47,参照データ!$C$43:$U$56,15,0),IF($V47="上級",VLOOKUP($BE47,参照データ!$C$43:$U$56,16,0),"")))</f>
        <v/>
      </c>
      <c r="BX47" s="47" t="str">
        <f t="shared" si="5"/>
        <v/>
      </c>
      <c r="BY47" s="47" t="str">
        <f>IF($W47="初級",VLOOKUP($BE47,参照データ!$C$43:$U$56,17,0),IF($W47="中級",VLOOKUP($BE47,参照データ!$C$43:$U$56,18,0),IF($W47="上級",VLOOKUP($BE47,参照データ!$C$43:$U$56,19,0),"")))</f>
        <v/>
      </c>
      <c r="BZ47" s="687"/>
      <c r="CA47" s="65" t="s">
        <v>259</v>
      </c>
      <c r="CB47" s="135" t="str">
        <f t="shared" si="13"/>
        <v/>
      </c>
      <c r="CC47" s="689"/>
      <c r="CE47" s="53" t="str">
        <f>IF(AND($AZ47&gt;=参照データ!$C$67,$AZ47&lt;=参照データ!$C$65),1,IF(AND($AZ47&gt;=参照データ!$C$70,$AZ47&lt;=参照データ!$C$68),2,IF(AND($AZ47&gt;=参照データ!$C$73,$AZ47&lt;=参照データ!$C$71),3,IF(AND($AZ47&gt;=参照データ!$C$76,$AZ47&lt;=参照データ!$C$74),4,IF(AND($AZ47&gt;=参照データ!$C$79,$AZ47&lt;=参照データ!$C$77),5,IF(AND($AZ47&gt;0,$AZ47&lt;=参照データ!$C$80),6,""))))))</f>
        <v/>
      </c>
      <c r="CF47" s="141" t="str">
        <f>IF($Z47="○",(VLOOKUP($CE47,参照データ!$D$65:$J$82,2,0)),"")</f>
        <v/>
      </c>
      <c r="CG47" s="71" t="str">
        <f t="shared" si="14"/>
        <v/>
      </c>
      <c r="CH47" s="70" t="str">
        <f>IF($AB47="○",(VLOOKUP($CE47,参照データ!$D$65:$J$82,3,0)),"")</f>
        <v/>
      </c>
      <c r="CI47" s="71" t="str">
        <f t="shared" si="15"/>
        <v/>
      </c>
      <c r="CJ47" s="70" t="str">
        <f>IF($AD47="○",(VLOOKUP($CE47,参照データ!$D$65:$J$82,4,0)),"")</f>
        <v/>
      </c>
      <c r="CK47" s="71" t="str">
        <f t="shared" si="16"/>
        <v/>
      </c>
      <c r="CL47" s="70" t="str">
        <f>IF($AF47="○",(VLOOKUP($CE47,参照データ!$D$65:$J$82,5,0)),"")</f>
        <v/>
      </c>
      <c r="CM47" s="71" t="str">
        <f t="shared" si="6"/>
        <v/>
      </c>
      <c r="CN47" s="70" t="str">
        <f>IF($AH47="○",(VLOOKUP($CE47,参照データ!$D$65:$J$82,6,0)),"")</f>
        <v/>
      </c>
      <c r="CO47" s="71" t="str">
        <f t="shared" si="17"/>
        <v/>
      </c>
      <c r="CP47" s="33" t="str">
        <f t="shared" si="18"/>
        <v/>
      </c>
      <c r="CQ47" s="32" t="str">
        <f t="shared" si="19"/>
        <v/>
      </c>
      <c r="CR47" s="71" t="str">
        <f t="shared" si="20"/>
        <v/>
      </c>
      <c r="CS47" s="682"/>
      <c r="CT47" s="77" t="s">
        <v>120</v>
      </c>
      <c r="CU47" s="78" t="str">
        <f t="shared" si="21"/>
        <v/>
      </c>
      <c r="CV47" s="684"/>
      <c r="CW47" s="308" t="str">
        <f t="shared" ref="CW47" si="89">$CW46</f>
        <v/>
      </c>
      <c r="CX47" s="70"/>
      <c r="CY47" s="172" t="str">
        <f t="shared" si="22"/>
        <v/>
      </c>
      <c r="DA47" s="32"/>
      <c r="DB47" s="161" t="str">
        <f t="shared" si="23"/>
        <v/>
      </c>
      <c r="DC47" s="744"/>
      <c r="DD47" s="164" t="s">
        <v>120</v>
      </c>
      <c r="DE47" s="165" t="str">
        <f t="shared" si="44"/>
        <v/>
      </c>
      <c r="DF47" s="742"/>
      <c r="DG47" t="str">
        <f>IF($DH47="","",DATEDIF($AZ47,参照データ!$D$19,"Y"))</f>
        <v/>
      </c>
      <c r="DH47" s="253" t="str">
        <f>IFERROR(IF($BA47="男子",VLOOKUP($DO47,参照データ!$D$88:$E$117,2,0),$DO47),0)</f>
        <v/>
      </c>
      <c r="DI47" s="84" t="str">
        <f>IF($Z47="選手権",(VLOOKUP($DH47,参照データ!$D$88:$K$117,3,0)),"")</f>
        <v/>
      </c>
      <c r="DJ47" s="85" t="str">
        <f t="shared" si="83"/>
        <v/>
      </c>
      <c r="DK47" s="84" t="str">
        <f>IF($AB47="選手権",(VLOOKUP($DH47,参照データ!$D$88:$K$117,4,0)),"")</f>
        <v/>
      </c>
      <c r="DL47" s="85" t="str">
        <f t="shared" si="84"/>
        <v/>
      </c>
      <c r="DM47" s="84" t="str">
        <f>IF($AD47="選手権",(VLOOKUP($DH47,参照データ!$D$88:$K$117,5,0)),"")</f>
        <v/>
      </c>
      <c r="DN47" s="85" t="str">
        <f t="shared" si="85"/>
        <v/>
      </c>
      <c r="DO47" s="53" t="str">
        <f>IF(AND($AZ47&gt;=参照データ!$C$90,$AZ47&lt;=参照データ!$C$88),1,IF(AND($AZ47&gt;=参照データ!$C$93,$AZ47&lt;=参照データ!$C$91),2,IF(AND($AZ47&gt;=参照データ!$C$99,$AZ47&lt;=参照データ!$C$97),3,IF(AND($AZ47&gt;=参照データ!$C$105,$AZ47&lt;=参照データ!$C$103),4,IF(AND($AZ47&gt;=参照データ!$C$111,$AZ47&lt;=参照データ!$C$109),5,IF(AND($AZ47&gt;0,$AZ47&lt;=参照データ!$C$112),6,""))))))</f>
        <v/>
      </c>
      <c r="DP47" s="84" t="str">
        <f>IF($AF47="選手権",(VLOOKUP($DO47,参照データ!$D$88:$K$117,6,0)),"")</f>
        <v/>
      </c>
      <c r="DQ47" s="85" t="str">
        <f t="shared" si="10"/>
        <v/>
      </c>
      <c r="DR47" s="84" t="str">
        <f>IF($AH47="選手権",(VLOOKUP($DO47,参照データ!$D$88:$K$117,7,0)),"")</f>
        <v/>
      </c>
      <c r="DS47" s="85" t="str">
        <f t="shared" si="24"/>
        <v/>
      </c>
      <c r="DT47" s="33" t="str">
        <f t="shared" si="25"/>
        <v/>
      </c>
      <c r="DU47" s="32" t="str">
        <f t="shared" si="26"/>
        <v/>
      </c>
      <c r="DV47" s="85" t="str">
        <f t="shared" si="27"/>
        <v/>
      </c>
      <c r="DW47" s="733"/>
      <c r="DX47" s="91" t="s">
        <v>120</v>
      </c>
      <c r="DY47" s="92" t="str">
        <f t="shared" si="37"/>
        <v/>
      </c>
      <c r="DZ47" s="735"/>
      <c r="EA47" s="312" t="str">
        <f t="shared" si="65"/>
        <v/>
      </c>
      <c r="EC47" s="491" t="str">
        <f t="shared" si="28"/>
        <v/>
      </c>
      <c r="EH47" s="35">
        <f>(COUNTIF($J47:$O47,"&lt;&gt;"))*参照データ!$E$3</f>
        <v>0</v>
      </c>
      <c r="EI47" s="219" t="str">
        <f>IF(P47="○",参照データ!$E$5,"")</f>
        <v/>
      </c>
      <c r="EJ47" s="219" t="str">
        <f>IF($Y47="○",参照データ!$E$4,"")</f>
        <v/>
      </c>
      <c r="EK47" s="18">
        <f>(SUM(COUNTIF($R47:$V47,{"入門","初級"}))*参照データ!$E$9)+(SUM(COUNTIF($R47:$V47,{"中級","上級"})*参照データ!$E$10))</f>
        <v>0</v>
      </c>
      <c r="EL47" s="18">
        <f>IFERROR(VLOOKUP($W47,参照データ!$D$9:$J$11,7,0),0)</f>
        <v>0</v>
      </c>
      <c r="EM47" s="18">
        <f>((COUNTIF($Z47:$AH47,"○"))*参照データ!$E$12)</f>
        <v>0</v>
      </c>
      <c r="EN47" s="18" t="str">
        <f>(IF($AJ47="○",参照データ!$J$12,""))</f>
        <v/>
      </c>
      <c r="EQ47" s="18">
        <f>((COUNTIF($Z47:$AH47,"選手権"))*参照データ!$E$13)</f>
        <v>0</v>
      </c>
      <c r="ER47" s="18" t="str">
        <f>(IF($AJ47="選手権",参照データ!$J$13,""))</f>
        <v/>
      </c>
      <c r="ES47" s="18">
        <f>(COUNTIF($AQ47:$AR47,"&lt;&gt;"))*参照データ!$H$3</f>
        <v>0</v>
      </c>
      <c r="ET47" s="18"/>
      <c r="EU47" s="18" t="str">
        <f>IF(AV47&lt;&gt;"",参照データ!$H$15,"")</f>
        <v/>
      </c>
      <c r="EV47" s="98" cm="1">
        <f t="array" ref="EV47">SUM(IF(ISERROR(EH47:EU47),0,(EH47:EU47)))</f>
        <v>0</v>
      </c>
      <c r="EW47" s="18"/>
      <c r="EX47" s="18">
        <f t="shared" si="86"/>
        <v>0</v>
      </c>
      <c r="EY47" s="18">
        <f t="shared" si="29"/>
        <v>0</v>
      </c>
      <c r="EZ47" s="18">
        <f t="shared" si="38"/>
        <v>0</v>
      </c>
      <c r="FA47" s="18">
        <f t="shared" si="30"/>
        <v>0</v>
      </c>
      <c r="FB47" s="18">
        <f t="shared" si="31"/>
        <v>0</v>
      </c>
      <c r="FC47" s="18">
        <f t="shared" si="32"/>
        <v>0</v>
      </c>
      <c r="FD47" s="18">
        <f t="shared" si="12"/>
        <v>0</v>
      </c>
      <c r="FE47" t="str">
        <f t="shared" si="33"/>
        <v/>
      </c>
    </row>
    <row r="48" spans="1:161" ht="18.75" customHeight="1" x14ac:dyDescent="0.2">
      <c r="A48">
        <v>37</v>
      </c>
      <c r="B48" s="14" t="str">
        <f>IF(D48="","",IF(D48="重複","",COUNTIF(B$12:$B47,"&gt;0")+1))</f>
        <v/>
      </c>
      <c r="C48" s="464"/>
      <c r="D48" s="177"/>
      <c r="E48" s="177"/>
      <c r="F48" s="31"/>
      <c r="G48" s="41"/>
      <c r="H48" s="351">
        <f t="shared" si="34"/>
        <v>0</v>
      </c>
      <c r="I48" s="193" t="str">
        <f>IF($AZ48=0,"",DATEDIF($AZ48,参照データ!$D$16,"Y"))</f>
        <v/>
      </c>
      <c r="J48" s="36"/>
      <c r="K48" s="36"/>
      <c r="L48" s="36"/>
      <c r="M48" s="36"/>
      <c r="N48" s="36"/>
      <c r="O48" s="42"/>
      <c r="P48" s="345"/>
      <c r="Q48" s="345"/>
      <c r="R48" s="43"/>
      <c r="S48" s="244"/>
      <c r="T48" s="244"/>
      <c r="U48" s="244"/>
      <c r="V48" s="245"/>
      <c r="W48" s="248"/>
      <c r="X48" s="250"/>
      <c r="Y48" s="345"/>
      <c r="Z48" s="388"/>
      <c r="AA48" s="346" t="str">
        <f>IF($Z48="○",VLOOKUP($CE48,参照データ!$D$65:$M$82,9,0),IF($Z48="選手権",VLOOKUP($DH48,参照データ!$D$88:$O$117,10,0),""))</f>
        <v/>
      </c>
      <c r="AB48" s="388"/>
      <c r="AC48" s="346" t="str">
        <f>IF($AB48="○",VLOOKUP($CE48,参照データ!$D$65:$M$82,10,0),IF($AB48="選手権",VLOOKUP($DH48,参照データ!$D$88:$O$117,11,0),""))</f>
        <v/>
      </c>
      <c r="AD48" s="388"/>
      <c r="AE48" s="346" t="str">
        <f>IF($AD48="○",VLOOKUP($CE48,参照データ!$D$65:$M$82,10,0),IF($AD48="選手権",VLOOKUP($DH48,参照データ!$D$88:$O$117,11,0),""))</f>
        <v/>
      </c>
      <c r="AF48" s="388"/>
      <c r="AG48" s="346" t="str">
        <f>IF($AF48="○",VLOOKUP($CE48,参照データ!$D$65:$M$82,10,0),IF($AF48="選手権",VLOOKUP($DO48,参照データ!$D$88:$O$117,12,0),""))</f>
        <v/>
      </c>
      <c r="AH48" s="388"/>
      <c r="AI48" s="346" t="str">
        <f>IF($AH48="○",VLOOKUP($CE48,参照データ!$D$65:$M$82,10,0),IF($AH48="選手権",VLOOKUP($DO48,参照データ!$D$88:$O$117,12,0),""))</f>
        <v/>
      </c>
      <c r="AJ48" s="388"/>
      <c r="AK48" s="511"/>
      <c r="AL48" s="346" t="str">
        <f t="shared" si="80"/>
        <v/>
      </c>
      <c r="AM48" s="392"/>
      <c r="AN48" s="391"/>
      <c r="AO48" s="391"/>
      <c r="AP48" s="447"/>
      <c r="AQ48" s="321"/>
      <c r="AR48" s="481"/>
      <c r="AS48" s="393"/>
      <c r="AT48" s="483"/>
      <c r="AU48" s="393"/>
      <c r="AV48" s="529"/>
      <c r="AW48" s="483"/>
      <c r="AZ48">
        <f t="shared" si="50"/>
        <v>0</v>
      </c>
      <c r="BA48" t="str">
        <f t="shared" si="35"/>
        <v/>
      </c>
      <c r="BB48" s="132"/>
      <c r="BD48" s="513" t="str">
        <f t="shared" si="81"/>
        <v/>
      </c>
      <c r="BE48" s="53" t="str">
        <f>IF($AZ48=0,"",IF(AND($I48&gt;=6,$I48&lt;=19),VLOOKUP($I48,参照データ!$B$24:$C$37,2,0),IF($I48&lt;6,6,19)))</f>
        <v/>
      </c>
      <c r="BF48" s="155" t="str">
        <f>IF($J48="○",VLOOKUP($BE48,参照データ!$C$24:$I$37,2,0),"")</f>
        <v/>
      </c>
      <c r="BG48" s="146" t="str">
        <f>IF($K48="○",VLOOKUP($BE48,参照データ!$C$24:$I$37,3,0),"")</f>
        <v/>
      </c>
      <c r="BH48" s="146" t="str">
        <f>IF($L48="○",VLOOKUP($BE48,参照データ!$C$24:$I$37,4,0),"")</f>
        <v/>
      </c>
      <c r="BI48" s="146" t="str">
        <f>IF($M48="○",VLOOKUP($BE48,参照データ!$C$24:$I$37,5,0),"")</f>
        <v/>
      </c>
      <c r="BJ48" s="146" t="str">
        <f>IF($N48="20日",VLOOKUP($BE48,参照データ!$C$24:$I$37,6,0),"")</f>
        <v/>
      </c>
      <c r="BK48" s="156" t="str">
        <f>IF($O48="20日",VLOOKUP($BE48,参照データ!$C$24:$I$37,7,0),"")</f>
        <v/>
      </c>
      <c r="BL48" s="155" t="str">
        <f>IF($J48="21日",VLOOKUP($BE48,参照データ!$C$24:$I$37,2,0),"")</f>
        <v/>
      </c>
      <c r="BM48" s="146" t="str">
        <f>IF($K48="21日",VLOOKUP($BE48,参照データ!$C$24:$I$37,3,0),"")</f>
        <v/>
      </c>
      <c r="BN48" s="146" t="str">
        <f>IF($L48="21日",VLOOKUP($BE48,参照データ!$C$24:$I$37,4,0),"")</f>
        <v/>
      </c>
      <c r="BO48" s="146" t="str">
        <f>IF($M48="21日",VLOOKUP($BE48,参照データ!$C$24:$I$37,5,0),"")</f>
        <v/>
      </c>
      <c r="BP48" s="146" t="str">
        <f>IF($N48="21日",VLOOKUP($BE48,参照データ!$C$24:$I$37,6,0),"")</f>
        <v/>
      </c>
      <c r="BQ48" s="156" t="str">
        <f>IF($O48="21日",VLOOKUP($BE48,参照データ!$C$24:$I$37,7,0),"")</f>
        <v/>
      </c>
      <c r="BR48" s="223" t="str">
        <f t="shared" si="42"/>
        <v/>
      </c>
      <c r="BS48" s="154" t="str">
        <f>IF($R48="入門",VLOOKUP($BE48,参照データ!$C$43:$U$56,2,0),IF($R48="初級",VLOOKUP($BE48,参照データ!$C$43:$U$56,3,0),IF($R48="中級",VLOOKUP($BE48,参照データ!$C$43:$U$56,4,0),IF($R48="上級",VLOOKUP($BE48,参照データ!$C$43:$U$56,5,0),""))))</f>
        <v/>
      </c>
      <c r="BT48" s="154" t="str">
        <f>IF($S48="初級",VLOOKUP($BE48,参照データ!$C$43:$U$56,6,0),IF($S48="中級",VLOOKUP($BE48,参照データ!$C$43:$U$56,7,0),IF($S48="上級",VLOOKUP($BE48,参照データ!$C$43:$U$56,8,0),"")))</f>
        <v/>
      </c>
      <c r="BU48" s="154" t="str">
        <f>IF($T48="初級",VLOOKUP($BE48,参照データ!$C$43:$U$56,9,0),IF($T48="上級",VLOOKUP($BE48,参照データ!$C$43:$U$56,10,0),""))</f>
        <v/>
      </c>
      <c r="BV48" s="154" t="str">
        <f>IF($U48="初級",VLOOKUP($BE48,参照データ!$C$43:$U$56,11,0),IF($U48="中級",VLOOKUP($BE48,参照データ!$C$43:$U$56,12,0),IF($U48="上級",VLOOKUP($BE48,参照データ!$C$43:$U$56,13,0),"")))</f>
        <v/>
      </c>
      <c r="BW48" s="154" t="str">
        <f>IF($V48="初級",VLOOKUP($BE48,参照データ!$C$43:$U$56,14,0),IF($V48="中級",VLOOKUP($BE48,参照データ!$C$43:$U$56,15,0),IF($V48="上級",VLOOKUP($BE48,参照データ!$C$43:$U$56,16,0),"")))</f>
        <v/>
      </c>
      <c r="BX48" s="47" t="str">
        <f t="shared" si="5"/>
        <v/>
      </c>
      <c r="BY48" s="47" t="str">
        <f>IF($W48="初級",VLOOKUP($BE48,参照データ!$C$43:$U$56,17,0),IF($W48="中級",VLOOKUP($BE48,参照データ!$C$43:$U$56,18,0),IF($W48="上級",VLOOKUP($BE48,参照データ!$C$43:$U$56,19,0),"")))</f>
        <v/>
      </c>
      <c r="BZ48" s="686">
        <v>19</v>
      </c>
      <c r="CA48" s="66" t="s">
        <v>260</v>
      </c>
      <c r="CB48" s="136" t="str">
        <f t="shared" si="13"/>
        <v/>
      </c>
      <c r="CC48" s="688" t="str">
        <f t="shared" ref="CC48" si="90">IF(OR($CB48="",$CB49=""),"",IF($CB48&gt;$CB49,$CB48,$CB49))</f>
        <v/>
      </c>
      <c r="CE48" s="53" t="str">
        <f>IF(AND($AZ48&gt;=参照データ!$C$67,$AZ48&lt;=参照データ!$C$65),1,IF(AND($AZ48&gt;=参照データ!$C$70,$AZ48&lt;=参照データ!$C$68),2,IF(AND($AZ48&gt;=参照データ!$C$73,$AZ48&lt;=参照データ!$C$71),3,IF(AND($AZ48&gt;=参照データ!$C$76,$AZ48&lt;=参照データ!$C$74),4,IF(AND($AZ48&gt;=参照データ!$C$79,$AZ48&lt;=参照データ!$C$77),5,IF(AND($AZ48&gt;0,$AZ48&lt;=参照データ!$C$80),6,""))))))</f>
        <v/>
      </c>
      <c r="CF48" s="141" t="str">
        <f>IF($Z48="○",(VLOOKUP($CE48,参照データ!$D$65:$J$82,2,0)),"")</f>
        <v/>
      </c>
      <c r="CG48" s="71" t="str">
        <f t="shared" si="14"/>
        <v/>
      </c>
      <c r="CH48" s="70" t="str">
        <f>IF($AB48="○",(VLOOKUP($CE48,参照データ!$D$65:$J$82,3,0)),"")</f>
        <v/>
      </c>
      <c r="CI48" s="71" t="str">
        <f t="shared" si="15"/>
        <v/>
      </c>
      <c r="CJ48" s="70" t="str">
        <f>IF($AD48="○",(VLOOKUP($CE48,参照データ!$D$65:$J$82,4,0)),"")</f>
        <v/>
      </c>
      <c r="CK48" s="71" t="str">
        <f t="shared" si="16"/>
        <v/>
      </c>
      <c r="CL48" s="70" t="str">
        <f>IF($AF48="○",(VLOOKUP($CE48,参照データ!$D$65:$J$82,5,0)),"")</f>
        <v/>
      </c>
      <c r="CM48" s="71" t="str">
        <f t="shared" si="6"/>
        <v/>
      </c>
      <c r="CN48" s="70" t="str">
        <f>IF($AH48="○",(VLOOKUP($CE48,参照データ!$D$65:$J$82,6,0)),"")</f>
        <v/>
      </c>
      <c r="CO48" s="71" t="str">
        <f t="shared" si="17"/>
        <v/>
      </c>
      <c r="CP48" s="33" t="str">
        <f t="shared" si="18"/>
        <v/>
      </c>
      <c r="CQ48" s="32" t="str">
        <f t="shared" si="19"/>
        <v/>
      </c>
      <c r="CR48" s="71" t="str">
        <f t="shared" si="20"/>
        <v/>
      </c>
      <c r="CS48" s="681">
        <v>19</v>
      </c>
      <c r="CT48" s="79" t="s">
        <v>121</v>
      </c>
      <c r="CU48" s="80" t="str">
        <f t="shared" si="21"/>
        <v/>
      </c>
      <c r="CV48" s="683" t="e">
        <f>IF($CU48&gt;$CU49,VLOOKUP($CU48,参照データ!$D$65:$J$82,7,0),VLOOKUP($CU49,参照データ!$D$65:$J$82,7,0))</f>
        <v>#N/A</v>
      </c>
      <c r="CW48" s="308" t="str">
        <f>IFERROR(VLOOKUP($CV48,参照データ!$J$65:$M$82,4,0),"")</f>
        <v/>
      </c>
      <c r="CX48" s="70"/>
      <c r="CY48" s="172" t="str">
        <f t="shared" si="22"/>
        <v/>
      </c>
      <c r="DA48" s="32"/>
      <c r="DB48" s="161" t="str">
        <f t="shared" si="23"/>
        <v/>
      </c>
      <c r="DC48" s="743">
        <v>19</v>
      </c>
      <c r="DD48" s="166" t="s">
        <v>121</v>
      </c>
      <c r="DE48" s="167" t="str">
        <f t="shared" si="44"/>
        <v/>
      </c>
      <c r="DF48" s="741" t="str">
        <f>IF(OR(DE48="",DE49=""),"",IF(DE48&gt;DE49,DE48,DE49))</f>
        <v/>
      </c>
      <c r="DG48" t="str">
        <f>IF($DH48="","",DATEDIF($AZ48,参照データ!$D$19,"Y"))</f>
        <v/>
      </c>
      <c r="DH48" s="253" t="str">
        <f>IFERROR(IF($BA48="男子",VLOOKUP($DO48,参照データ!$D$88:$E$117,2,0),$DO48),0)</f>
        <v/>
      </c>
      <c r="DI48" s="84" t="str">
        <f>IF($Z48="選手権",(VLOOKUP($DH48,参照データ!$D$88:$K$117,3,0)),"")</f>
        <v/>
      </c>
      <c r="DJ48" s="85" t="str">
        <f t="shared" si="83"/>
        <v/>
      </c>
      <c r="DK48" s="84" t="str">
        <f>IF($AB48="選手権",(VLOOKUP($DH48,参照データ!$D$88:$K$117,4,0)),"")</f>
        <v/>
      </c>
      <c r="DL48" s="85" t="str">
        <f t="shared" si="84"/>
        <v/>
      </c>
      <c r="DM48" s="84" t="str">
        <f>IF($AD48="選手権",(VLOOKUP($DH48,参照データ!$D$88:$K$117,5,0)),"")</f>
        <v/>
      </c>
      <c r="DN48" s="85" t="str">
        <f t="shared" si="85"/>
        <v/>
      </c>
      <c r="DO48" s="53" t="str">
        <f>IF(AND($AZ48&gt;=参照データ!$C$90,$AZ48&lt;=参照データ!$C$88),1,IF(AND($AZ48&gt;=参照データ!$C$93,$AZ48&lt;=参照データ!$C$91),2,IF(AND($AZ48&gt;=参照データ!$C$99,$AZ48&lt;=参照データ!$C$97),3,IF(AND($AZ48&gt;=参照データ!$C$105,$AZ48&lt;=参照データ!$C$103),4,IF(AND($AZ48&gt;=参照データ!$C$111,$AZ48&lt;=参照データ!$C$109),5,IF(AND($AZ48&gt;0,$AZ48&lt;=参照データ!$C$112),6,""))))))</f>
        <v/>
      </c>
      <c r="DP48" s="84" t="str">
        <f>IF($AF48="選手権",(VLOOKUP($DO48,参照データ!$D$88:$K$117,6,0)),"")</f>
        <v/>
      </c>
      <c r="DQ48" s="85" t="str">
        <f t="shared" si="10"/>
        <v/>
      </c>
      <c r="DR48" s="84" t="str">
        <f>IF($AH48="選手権",(VLOOKUP($DO48,参照データ!$D$88:$K$117,7,0)),"")</f>
        <v/>
      </c>
      <c r="DS48" s="85" t="str">
        <f t="shared" si="24"/>
        <v/>
      </c>
      <c r="DT48" s="33" t="str">
        <f t="shared" si="25"/>
        <v/>
      </c>
      <c r="DU48" s="32" t="str">
        <f t="shared" si="26"/>
        <v/>
      </c>
      <c r="DV48" s="85" t="str">
        <f t="shared" si="27"/>
        <v/>
      </c>
      <c r="DW48" s="736">
        <v>19</v>
      </c>
      <c r="DX48" s="93" t="s">
        <v>121</v>
      </c>
      <c r="DY48" s="94" t="str">
        <f t="shared" si="37"/>
        <v/>
      </c>
      <c r="DZ48" s="737" t="e">
        <f>IF($DY48&gt;$DY49,VLOOKUP($DY48,参照データ!$D$88:$K$117,8,0),VLOOKUP($DY49,参照データ!$D$88:$K$117,8,0))</f>
        <v>#N/A</v>
      </c>
      <c r="EA48" s="312" t="str">
        <f>IFERROR(VLOOKUP($DZ48,参照データ!$K$88:$O$117,5,0),"")</f>
        <v/>
      </c>
      <c r="EC48" s="491" t="str">
        <f t="shared" si="28"/>
        <v/>
      </c>
      <c r="EH48" s="35">
        <f>(COUNTIF($J48:$O48,"&lt;&gt;"))*参照データ!$E$3</f>
        <v>0</v>
      </c>
      <c r="EI48" s="219" t="str">
        <f>IF(P48="○",参照データ!$E$5,"")</f>
        <v/>
      </c>
      <c r="EJ48" s="219" t="str">
        <f>IF($Y48="○",参照データ!$E$4,"")</f>
        <v/>
      </c>
      <c r="EK48" s="18">
        <f>(SUM(COUNTIF($R48:$V48,{"入門","初級"}))*参照データ!$E$9)+(SUM(COUNTIF($R48:$V48,{"中級","上級"})*参照データ!$E$10))</f>
        <v>0</v>
      </c>
      <c r="EL48" s="18">
        <f>IFERROR(VLOOKUP($W48,参照データ!$D$9:$J$11,7,0),0)</f>
        <v>0</v>
      </c>
      <c r="EM48" s="18">
        <f>((COUNTIF($Z48:$AH48,"○"))*参照データ!$E$12)</f>
        <v>0</v>
      </c>
      <c r="EN48" s="18" t="str">
        <f>(IF($AJ48="○",参照データ!$J$12,""))</f>
        <v/>
      </c>
      <c r="EQ48" s="18">
        <f>((COUNTIF($Z48:$AH48,"選手権"))*参照データ!$E$13)</f>
        <v>0</v>
      </c>
      <c r="ER48" s="18" t="str">
        <f>(IF($AJ48="選手権",参照データ!$J$13,""))</f>
        <v/>
      </c>
      <c r="ES48" s="18">
        <f>(COUNTIF($AQ48:$AR48,"&lt;&gt;"))*参照データ!$H$3</f>
        <v>0</v>
      </c>
      <c r="ET48" s="18"/>
      <c r="EU48" s="18" t="str">
        <f>IF(AV48&lt;&gt;"",参照データ!$H$15,"")</f>
        <v/>
      </c>
      <c r="EV48" s="98" cm="1">
        <f t="array" ref="EV48">SUM(IF(ISERROR(EH48:EU48),0,(EH48:EU48)))</f>
        <v>0</v>
      </c>
      <c r="EW48" s="18"/>
      <c r="EX48" s="18">
        <f t="shared" si="86"/>
        <v>0</v>
      </c>
      <c r="EY48" s="18">
        <f t="shared" si="29"/>
        <v>0</v>
      </c>
      <c r="EZ48" s="18">
        <f t="shared" si="38"/>
        <v>0</v>
      </c>
      <c r="FA48" s="18">
        <f t="shared" si="30"/>
        <v>0</v>
      </c>
      <c r="FB48" s="18">
        <f t="shared" si="31"/>
        <v>0</v>
      </c>
      <c r="FC48" s="18">
        <f t="shared" si="32"/>
        <v>0</v>
      </c>
      <c r="FD48" s="18">
        <f t="shared" si="12"/>
        <v>0</v>
      </c>
      <c r="FE48" t="str">
        <f t="shared" si="33"/>
        <v/>
      </c>
    </row>
    <row r="49" spans="1:161" ht="18.75" customHeight="1" x14ac:dyDescent="0.2">
      <c r="A49">
        <v>38</v>
      </c>
      <c r="B49" s="14" t="str">
        <f>IF(D49="","",IF(D49="重複","",COUNTIF(B$12:$B48,"&gt;0")+1))</f>
        <v/>
      </c>
      <c r="C49" s="464"/>
      <c r="D49" s="177"/>
      <c r="E49" s="177"/>
      <c r="F49" s="31"/>
      <c r="G49" s="41"/>
      <c r="H49" s="351">
        <f t="shared" si="34"/>
        <v>0</v>
      </c>
      <c r="I49" s="193" t="str">
        <f>IF($AZ49=0,"",DATEDIF($AZ49,参照データ!$D$16,"Y"))</f>
        <v/>
      </c>
      <c r="J49" s="36"/>
      <c r="K49" s="36"/>
      <c r="L49" s="36"/>
      <c r="M49" s="36"/>
      <c r="N49" s="36"/>
      <c r="O49" s="42"/>
      <c r="P49" s="345"/>
      <c r="Q49" s="345"/>
      <c r="R49" s="43"/>
      <c r="S49" s="244"/>
      <c r="T49" s="244"/>
      <c r="U49" s="244"/>
      <c r="V49" s="245"/>
      <c r="W49" s="248"/>
      <c r="X49" s="250"/>
      <c r="Y49" s="345"/>
      <c r="Z49" s="388"/>
      <c r="AA49" s="346" t="str">
        <f>IF($Z49="○",VLOOKUP($CE49,参照データ!$D$65:$M$82,9,0),IF($Z49="選手権",VLOOKUP($DH49,参照データ!$D$88:$O$117,10,0),""))</f>
        <v/>
      </c>
      <c r="AB49" s="388"/>
      <c r="AC49" s="346" t="str">
        <f>IF($AB49="○",VLOOKUP($CE49,参照データ!$D$65:$M$82,10,0),IF($AB49="選手権",VLOOKUP($DH49,参照データ!$D$88:$O$117,11,0),""))</f>
        <v/>
      </c>
      <c r="AD49" s="388"/>
      <c r="AE49" s="346" t="str">
        <f>IF($AD49="○",VLOOKUP($CE49,参照データ!$D$65:$M$82,10,0),IF($AD49="選手権",VLOOKUP($DH49,参照データ!$D$88:$O$117,11,0),""))</f>
        <v/>
      </c>
      <c r="AF49" s="388"/>
      <c r="AG49" s="346" t="str">
        <f>IF($AF49="○",VLOOKUP($CE49,参照データ!$D$65:$M$82,10,0),IF($AF49="選手権",VLOOKUP($DO49,参照データ!$D$88:$O$117,12,0),""))</f>
        <v/>
      </c>
      <c r="AH49" s="388"/>
      <c r="AI49" s="346" t="str">
        <f>IF($AH49="○",VLOOKUP($CE49,参照データ!$D$65:$M$82,10,0),IF($AH49="選手権",VLOOKUP($DO49,参照データ!$D$88:$O$117,12,0),""))</f>
        <v/>
      </c>
      <c r="AJ49" s="388"/>
      <c r="AK49" s="511"/>
      <c r="AL49" s="346" t="str">
        <f t="shared" si="80"/>
        <v/>
      </c>
      <c r="AM49" s="392"/>
      <c r="AN49" s="391"/>
      <c r="AO49" s="391"/>
      <c r="AP49" s="447"/>
      <c r="AQ49" s="321"/>
      <c r="AR49" s="481"/>
      <c r="AS49" s="393"/>
      <c r="AT49" s="483"/>
      <c r="AU49" s="393"/>
      <c r="AV49" s="529"/>
      <c r="AW49" s="483"/>
      <c r="AZ49">
        <f t="shared" si="50"/>
        <v>0</v>
      </c>
      <c r="BA49" t="str">
        <f t="shared" si="35"/>
        <v/>
      </c>
      <c r="BB49" s="132"/>
      <c r="BD49" s="513" t="str">
        <f t="shared" si="81"/>
        <v/>
      </c>
      <c r="BE49" s="53" t="str">
        <f>IF($AZ49=0,"",IF(AND($I49&gt;=6,$I49&lt;=19),VLOOKUP($I49,参照データ!$B$24:$C$37,2,0),IF($I49&lt;6,6,19)))</f>
        <v/>
      </c>
      <c r="BF49" s="155" t="str">
        <f>IF($J49="○",VLOOKUP($BE49,参照データ!$C$24:$I$37,2,0),"")</f>
        <v/>
      </c>
      <c r="BG49" s="146" t="str">
        <f>IF($K49="○",VLOOKUP($BE49,参照データ!$C$24:$I$37,3,0),"")</f>
        <v/>
      </c>
      <c r="BH49" s="146" t="str">
        <f>IF($L49="○",VLOOKUP($BE49,参照データ!$C$24:$I$37,4,0),"")</f>
        <v/>
      </c>
      <c r="BI49" s="146" t="str">
        <f>IF($M49="○",VLOOKUP($BE49,参照データ!$C$24:$I$37,5,0),"")</f>
        <v/>
      </c>
      <c r="BJ49" s="146" t="str">
        <f>IF($N49="20日",VLOOKUP($BE49,参照データ!$C$24:$I$37,6,0),"")</f>
        <v/>
      </c>
      <c r="BK49" s="156" t="str">
        <f>IF($O49="20日",VLOOKUP($BE49,参照データ!$C$24:$I$37,7,0),"")</f>
        <v/>
      </c>
      <c r="BL49" s="155" t="str">
        <f>IF($J49="21日",VLOOKUP($BE49,参照データ!$C$24:$I$37,2,0),"")</f>
        <v/>
      </c>
      <c r="BM49" s="146" t="str">
        <f>IF($K49="21日",VLOOKUP($BE49,参照データ!$C$24:$I$37,3,0),"")</f>
        <v/>
      </c>
      <c r="BN49" s="146" t="str">
        <f>IF($L49="21日",VLOOKUP($BE49,参照データ!$C$24:$I$37,4,0),"")</f>
        <v/>
      </c>
      <c r="BO49" s="146" t="str">
        <f>IF($M49="21日",VLOOKUP($BE49,参照データ!$C$24:$I$37,5,0),"")</f>
        <v/>
      </c>
      <c r="BP49" s="146" t="str">
        <f>IF($N49="21日",VLOOKUP($BE49,参照データ!$C$24:$I$37,6,0),"")</f>
        <v/>
      </c>
      <c r="BQ49" s="156" t="str">
        <f>IF($O49="21日",VLOOKUP($BE49,参照データ!$C$24:$I$37,7,0),"")</f>
        <v/>
      </c>
      <c r="BR49" s="223" t="str">
        <f t="shared" si="42"/>
        <v/>
      </c>
      <c r="BS49" s="154" t="str">
        <f>IF($R49="入門",VLOOKUP($BE49,参照データ!$C$43:$U$56,2,0),IF($R49="初級",VLOOKUP($BE49,参照データ!$C$43:$U$56,3,0),IF($R49="中級",VLOOKUP($BE49,参照データ!$C$43:$U$56,4,0),IF($R49="上級",VLOOKUP($BE49,参照データ!$C$43:$U$56,5,0),""))))</f>
        <v/>
      </c>
      <c r="BT49" s="154" t="str">
        <f>IF($S49="初級",VLOOKUP($BE49,参照データ!$C$43:$U$56,6,0),IF($S49="中級",VLOOKUP($BE49,参照データ!$C$43:$U$56,7,0),IF($S49="上級",VLOOKUP($BE49,参照データ!$C$43:$U$56,8,0),"")))</f>
        <v/>
      </c>
      <c r="BU49" s="154" t="str">
        <f>IF($T49="初級",VLOOKUP($BE49,参照データ!$C$43:$U$56,9,0),IF($T49="上級",VLOOKUP($BE49,参照データ!$C$43:$U$56,10,0),""))</f>
        <v/>
      </c>
      <c r="BV49" s="154" t="str">
        <f>IF($U49="初級",VLOOKUP($BE49,参照データ!$C$43:$U$56,11,0),IF($U49="中級",VLOOKUP($BE49,参照データ!$C$43:$U$56,12,0),IF($U49="上級",VLOOKUP($BE49,参照データ!$C$43:$U$56,13,0),"")))</f>
        <v/>
      </c>
      <c r="BW49" s="154" t="str">
        <f>IF($V49="初級",VLOOKUP($BE49,参照データ!$C$43:$U$56,14,0),IF($V49="中級",VLOOKUP($BE49,参照データ!$C$43:$U$56,15,0),IF($V49="上級",VLOOKUP($BE49,参照データ!$C$43:$U$56,16,0),"")))</f>
        <v/>
      </c>
      <c r="BX49" s="47" t="str">
        <f t="shared" si="5"/>
        <v/>
      </c>
      <c r="BY49" s="47" t="str">
        <f>IF($W49="初級",VLOOKUP($BE49,参照データ!$C$43:$U$56,17,0),IF($W49="中級",VLOOKUP($BE49,参照データ!$C$43:$U$56,18,0),IF($W49="上級",VLOOKUP($BE49,参照データ!$C$43:$U$56,19,0),"")))</f>
        <v/>
      </c>
      <c r="BZ49" s="687"/>
      <c r="CA49" s="65" t="s">
        <v>261</v>
      </c>
      <c r="CB49" s="135" t="str">
        <f t="shared" si="13"/>
        <v/>
      </c>
      <c r="CC49" s="689"/>
      <c r="CE49" s="53" t="str">
        <f>IF(AND($AZ49&gt;=参照データ!$C$67,$AZ49&lt;=参照データ!$C$65),1,IF(AND($AZ49&gt;=参照データ!$C$70,$AZ49&lt;=参照データ!$C$68),2,IF(AND($AZ49&gt;=参照データ!$C$73,$AZ49&lt;=参照データ!$C$71),3,IF(AND($AZ49&gt;=参照データ!$C$76,$AZ49&lt;=参照データ!$C$74),4,IF(AND($AZ49&gt;=参照データ!$C$79,$AZ49&lt;=参照データ!$C$77),5,IF(AND($AZ49&gt;0,$AZ49&lt;=参照データ!$C$80),6,""))))))</f>
        <v/>
      </c>
      <c r="CF49" s="141" t="str">
        <f>IF($Z49="○",(VLOOKUP($CE49,参照データ!$D$65:$J$82,2,0)),"")</f>
        <v/>
      </c>
      <c r="CG49" s="71" t="str">
        <f t="shared" si="14"/>
        <v/>
      </c>
      <c r="CH49" s="70" t="str">
        <f>IF($AB49="○",(VLOOKUP($CE49,参照データ!$D$65:$J$82,3,0)),"")</f>
        <v/>
      </c>
      <c r="CI49" s="71" t="str">
        <f t="shared" si="15"/>
        <v/>
      </c>
      <c r="CJ49" s="70" t="str">
        <f>IF($AD49="○",(VLOOKUP($CE49,参照データ!$D$65:$J$82,4,0)),"")</f>
        <v/>
      </c>
      <c r="CK49" s="71" t="str">
        <f t="shared" si="16"/>
        <v/>
      </c>
      <c r="CL49" s="70" t="str">
        <f>IF($AF49="○",(VLOOKUP($CE49,参照データ!$D$65:$J$82,5,0)),"")</f>
        <v/>
      </c>
      <c r="CM49" s="71" t="str">
        <f t="shared" si="6"/>
        <v/>
      </c>
      <c r="CN49" s="70" t="str">
        <f>IF($AH49="○",(VLOOKUP($CE49,参照データ!$D$65:$J$82,6,0)),"")</f>
        <v/>
      </c>
      <c r="CO49" s="71" t="str">
        <f t="shared" si="17"/>
        <v/>
      </c>
      <c r="CP49" s="33" t="str">
        <f t="shared" si="18"/>
        <v/>
      </c>
      <c r="CQ49" s="32" t="str">
        <f t="shared" si="19"/>
        <v/>
      </c>
      <c r="CR49" s="71" t="str">
        <f t="shared" si="20"/>
        <v/>
      </c>
      <c r="CS49" s="682"/>
      <c r="CT49" s="77" t="s">
        <v>122</v>
      </c>
      <c r="CU49" s="78" t="str">
        <f t="shared" si="21"/>
        <v/>
      </c>
      <c r="CV49" s="684"/>
      <c r="CW49" s="308" t="str">
        <f t="shared" ref="CW49" si="91">$CW48</f>
        <v/>
      </c>
      <c r="CX49" s="70"/>
      <c r="CY49" s="172" t="str">
        <f t="shared" si="22"/>
        <v/>
      </c>
      <c r="DA49" s="32"/>
      <c r="DB49" s="161" t="str">
        <f t="shared" si="23"/>
        <v/>
      </c>
      <c r="DC49" s="744"/>
      <c r="DD49" s="164" t="s">
        <v>122</v>
      </c>
      <c r="DE49" s="165" t="str">
        <f t="shared" si="44"/>
        <v/>
      </c>
      <c r="DF49" s="742"/>
      <c r="DG49" t="str">
        <f>IF($DH49="","",DATEDIF($AZ49,参照データ!$D$19,"Y"))</f>
        <v/>
      </c>
      <c r="DH49" s="253" t="str">
        <f>IFERROR(IF($BA49="男子",VLOOKUP($DO49,参照データ!$D$88:$E$117,2,0),$DO49),0)</f>
        <v/>
      </c>
      <c r="DI49" s="84" t="str">
        <f>IF($Z49="選手権",(VLOOKUP($DH49,参照データ!$D$88:$K$117,3,0)),"")</f>
        <v/>
      </c>
      <c r="DJ49" s="85" t="str">
        <f t="shared" si="83"/>
        <v/>
      </c>
      <c r="DK49" s="84" t="str">
        <f>IF($AB49="選手権",(VLOOKUP($DH49,参照データ!$D$88:$K$117,4,0)),"")</f>
        <v/>
      </c>
      <c r="DL49" s="85" t="str">
        <f t="shared" si="84"/>
        <v/>
      </c>
      <c r="DM49" s="84" t="str">
        <f>IF($AD49="選手権",(VLOOKUP($DH49,参照データ!$D$88:$K$117,5,0)),"")</f>
        <v/>
      </c>
      <c r="DN49" s="85" t="str">
        <f t="shared" si="85"/>
        <v/>
      </c>
      <c r="DO49" s="53" t="str">
        <f>IF(AND($AZ49&gt;=参照データ!$C$90,$AZ49&lt;=参照データ!$C$88),1,IF(AND($AZ49&gt;=参照データ!$C$93,$AZ49&lt;=参照データ!$C$91),2,IF(AND($AZ49&gt;=参照データ!$C$99,$AZ49&lt;=参照データ!$C$97),3,IF(AND($AZ49&gt;=参照データ!$C$105,$AZ49&lt;=参照データ!$C$103),4,IF(AND($AZ49&gt;=参照データ!$C$111,$AZ49&lt;=参照データ!$C$109),5,IF(AND($AZ49&gt;0,$AZ49&lt;=参照データ!$C$112),6,""))))))</f>
        <v/>
      </c>
      <c r="DP49" s="84" t="str">
        <f>IF($AF49="選手権",(VLOOKUP($DO49,参照データ!$D$88:$K$117,6,0)),"")</f>
        <v/>
      </c>
      <c r="DQ49" s="85" t="str">
        <f t="shared" si="10"/>
        <v/>
      </c>
      <c r="DR49" s="84" t="str">
        <f>IF($AH49="選手権",(VLOOKUP($DO49,参照データ!$D$88:$K$117,7,0)),"")</f>
        <v/>
      </c>
      <c r="DS49" s="85" t="str">
        <f t="shared" si="24"/>
        <v/>
      </c>
      <c r="DT49" s="33" t="str">
        <f t="shared" si="25"/>
        <v/>
      </c>
      <c r="DU49" s="32" t="str">
        <f t="shared" si="26"/>
        <v/>
      </c>
      <c r="DV49" s="85" t="str">
        <f t="shared" si="27"/>
        <v/>
      </c>
      <c r="DW49" s="733"/>
      <c r="DX49" s="91" t="s">
        <v>122</v>
      </c>
      <c r="DY49" s="92" t="str">
        <f t="shared" si="37"/>
        <v/>
      </c>
      <c r="DZ49" s="735"/>
      <c r="EA49" s="312" t="str">
        <f t="shared" si="65"/>
        <v/>
      </c>
      <c r="EC49" s="491" t="str">
        <f t="shared" si="28"/>
        <v/>
      </c>
      <c r="EH49" s="35">
        <f>(COUNTIF($J49:$O49,"&lt;&gt;"))*参照データ!$E$3</f>
        <v>0</v>
      </c>
      <c r="EI49" s="219" t="str">
        <f>IF(P49="○",参照データ!$E$5,"")</f>
        <v/>
      </c>
      <c r="EJ49" s="219" t="str">
        <f>IF($Y49="○",参照データ!$E$4,"")</f>
        <v/>
      </c>
      <c r="EK49" s="18">
        <f>(SUM(COUNTIF($R49:$V49,{"入門","初級"}))*参照データ!$E$9)+(SUM(COUNTIF($R49:$V49,{"中級","上級"})*参照データ!$E$10))</f>
        <v>0</v>
      </c>
      <c r="EL49" s="18">
        <f>IFERROR(VLOOKUP($W49,参照データ!$D$9:$J$11,7,0),0)</f>
        <v>0</v>
      </c>
      <c r="EM49" s="18">
        <f>((COUNTIF($Z49:$AH49,"○"))*参照データ!$E$12)</f>
        <v>0</v>
      </c>
      <c r="EN49" s="18" t="str">
        <f>(IF($AJ49="○",参照データ!$J$12,""))</f>
        <v/>
      </c>
      <c r="EQ49" s="18">
        <f>((COUNTIF($Z49:$AH49,"選手権"))*参照データ!$E$13)</f>
        <v>0</v>
      </c>
      <c r="ER49" s="18" t="str">
        <f>(IF($AJ49="選手権",参照データ!$J$13,""))</f>
        <v/>
      </c>
      <c r="ES49" s="18">
        <f>(COUNTIF($AQ49:$AR49,"&lt;&gt;"))*参照データ!$H$3</f>
        <v>0</v>
      </c>
      <c r="ET49" s="18"/>
      <c r="EU49" s="18" t="str">
        <f>IF(AV49&lt;&gt;"",参照データ!$H$15,"")</f>
        <v/>
      </c>
      <c r="EV49" s="98" cm="1">
        <f t="array" ref="EV49">SUM(IF(ISERROR(EH49:EU49),0,(EH49:EU49)))</f>
        <v>0</v>
      </c>
      <c r="EW49" s="18"/>
      <c r="EX49" s="18">
        <f t="shared" si="86"/>
        <v>0</v>
      </c>
      <c r="EY49" s="18">
        <f t="shared" si="29"/>
        <v>0</v>
      </c>
      <c r="EZ49" s="18">
        <f t="shared" si="38"/>
        <v>0</v>
      </c>
      <c r="FA49" s="18">
        <f t="shared" si="30"/>
        <v>0</v>
      </c>
      <c r="FB49" s="18">
        <f t="shared" si="31"/>
        <v>0</v>
      </c>
      <c r="FC49" s="18">
        <f t="shared" si="32"/>
        <v>0</v>
      </c>
      <c r="FD49" s="18">
        <f t="shared" si="12"/>
        <v>0</v>
      </c>
      <c r="FE49" t="str">
        <f t="shared" si="33"/>
        <v/>
      </c>
    </row>
    <row r="50" spans="1:161" ht="18.75" customHeight="1" x14ac:dyDescent="0.2">
      <c r="A50">
        <v>39</v>
      </c>
      <c r="B50" s="14" t="str">
        <f>IF(D50="","",IF(D50="重複","",COUNTIF(B$12:$B49,"&gt;0")+1))</f>
        <v/>
      </c>
      <c r="C50" s="464"/>
      <c r="D50" s="177"/>
      <c r="E50" s="177"/>
      <c r="F50" s="31"/>
      <c r="G50" s="41"/>
      <c r="H50" s="351">
        <f t="shared" si="34"/>
        <v>0</v>
      </c>
      <c r="I50" s="193" t="str">
        <f>IF($AZ50=0,"",DATEDIF($AZ50,参照データ!$D$16,"Y"))</f>
        <v/>
      </c>
      <c r="J50" s="36"/>
      <c r="K50" s="36"/>
      <c r="L50" s="36"/>
      <c r="M50" s="36"/>
      <c r="N50" s="36"/>
      <c r="O50" s="42"/>
      <c r="P50" s="345"/>
      <c r="Q50" s="345"/>
      <c r="R50" s="43"/>
      <c r="S50" s="244"/>
      <c r="T50" s="244"/>
      <c r="U50" s="244"/>
      <c r="V50" s="245"/>
      <c r="W50" s="248"/>
      <c r="X50" s="250"/>
      <c r="Y50" s="345"/>
      <c r="Z50" s="388"/>
      <c r="AA50" s="346" t="str">
        <f>IF($Z50="○",VLOOKUP($CE50,参照データ!$D$65:$M$82,9,0),IF($Z50="選手権",VLOOKUP($DH50,参照データ!$D$88:$O$117,10,0),""))</f>
        <v/>
      </c>
      <c r="AB50" s="388"/>
      <c r="AC50" s="346" t="str">
        <f>IF($AB50="○",VLOOKUP($CE50,参照データ!$D$65:$M$82,10,0),IF($AB50="選手権",VLOOKUP($DH50,参照データ!$D$88:$O$117,11,0),""))</f>
        <v/>
      </c>
      <c r="AD50" s="388"/>
      <c r="AE50" s="346" t="str">
        <f>IF($AD50="○",VLOOKUP($CE50,参照データ!$D$65:$M$82,10,0),IF($AD50="選手権",VLOOKUP($DH50,参照データ!$D$88:$O$117,11,0),""))</f>
        <v/>
      </c>
      <c r="AF50" s="388"/>
      <c r="AG50" s="346" t="str">
        <f>IF($AF50="○",VLOOKUP($CE50,参照データ!$D$65:$M$82,10,0),IF($AF50="選手権",VLOOKUP($DO50,参照データ!$D$88:$O$117,12,0),""))</f>
        <v/>
      </c>
      <c r="AH50" s="388"/>
      <c r="AI50" s="346" t="str">
        <f>IF($AH50="○",VLOOKUP($CE50,参照データ!$D$65:$M$82,10,0),IF($AH50="選手権",VLOOKUP($DO50,参照データ!$D$88:$O$117,12,0),""))</f>
        <v/>
      </c>
      <c r="AJ50" s="388"/>
      <c r="AK50" s="511"/>
      <c r="AL50" s="346" t="str">
        <f t="shared" si="80"/>
        <v/>
      </c>
      <c r="AM50" s="392"/>
      <c r="AN50" s="391"/>
      <c r="AO50" s="391"/>
      <c r="AP50" s="447"/>
      <c r="AQ50" s="321"/>
      <c r="AR50" s="481"/>
      <c r="AS50" s="393"/>
      <c r="AT50" s="483"/>
      <c r="AU50" s="393"/>
      <c r="AV50" s="529"/>
      <c r="AW50" s="483"/>
      <c r="AZ50">
        <f t="shared" si="50"/>
        <v>0</v>
      </c>
      <c r="BA50" t="str">
        <f t="shared" si="35"/>
        <v/>
      </c>
      <c r="BB50" s="132"/>
      <c r="BD50" s="513" t="str">
        <f t="shared" si="81"/>
        <v/>
      </c>
      <c r="BE50" s="53" t="str">
        <f>IF($AZ50=0,"",IF(AND($I50&gt;=6,$I50&lt;=19),VLOOKUP($I50,参照データ!$B$24:$C$37,2,0),IF($I50&lt;6,6,19)))</f>
        <v/>
      </c>
      <c r="BF50" s="155" t="str">
        <f>IF($J50="○",VLOOKUP($BE50,参照データ!$C$24:$I$37,2,0),"")</f>
        <v/>
      </c>
      <c r="BG50" s="146" t="str">
        <f>IF($K50="○",VLOOKUP($BE50,参照データ!$C$24:$I$37,3,0),"")</f>
        <v/>
      </c>
      <c r="BH50" s="146" t="str">
        <f>IF($L50="○",VLOOKUP($BE50,参照データ!$C$24:$I$37,4,0),"")</f>
        <v/>
      </c>
      <c r="BI50" s="146" t="str">
        <f>IF($M50="○",VLOOKUP($BE50,参照データ!$C$24:$I$37,5,0),"")</f>
        <v/>
      </c>
      <c r="BJ50" s="146" t="str">
        <f>IF($N50="20日",VLOOKUP($BE50,参照データ!$C$24:$I$37,6,0),"")</f>
        <v/>
      </c>
      <c r="BK50" s="156" t="str">
        <f>IF($O50="20日",VLOOKUP($BE50,参照データ!$C$24:$I$37,7,0),"")</f>
        <v/>
      </c>
      <c r="BL50" s="155" t="str">
        <f>IF($J50="21日",VLOOKUP($BE50,参照データ!$C$24:$I$37,2,0),"")</f>
        <v/>
      </c>
      <c r="BM50" s="146" t="str">
        <f>IF($K50="21日",VLOOKUP($BE50,参照データ!$C$24:$I$37,3,0),"")</f>
        <v/>
      </c>
      <c r="BN50" s="146" t="str">
        <f>IF($L50="21日",VLOOKUP($BE50,参照データ!$C$24:$I$37,4,0),"")</f>
        <v/>
      </c>
      <c r="BO50" s="146" t="str">
        <f>IF($M50="21日",VLOOKUP($BE50,参照データ!$C$24:$I$37,5,0),"")</f>
        <v/>
      </c>
      <c r="BP50" s="146" t="str">
        <f>IF($N50="21日",VLOOKUP($BE50,参照データ!$C$24:$I$37,6,0),"")</f>
        <v/>
      </c>
      <c r="BQ50" s="156" t="str">
        <f>IF($O50="21日",VLOOKUP($BE50,参照データ!$C$24:$I$37,7,0),"")</f>
        <v/>
      </c>
      <c r="BR50" s="223" t="str">
        <f t="shared" si="42"/>
        <v/>
      </c>
      <c r="BS50" s="154" t="str">
        <f>IF($R50="入門",VLOOKUP($BE50,参照データ!$C$43:$U$56,2,0),IF($R50="初級",VLOOKUP($BE50,参照データ!$C$43:$U$56,3,0),IF($R50="中級",VLOOKUP($BE50,参照データ!$C$43:$U$56,4,0),IF($R50="上級",VLOOKUP($BE50,参照データ!$C$43:$U$56,5,0),""))))</f>
        <v/>
      </c>
      <c r="BT50" s="154" t="str">
        <f>IF($S50="初級",VLOOKUP($BE50,参照データ!$C$43:$U$56,6,0),IF($S50="中級",VLOOKUP($BE50,参照データ!$C$43:$U$56,7,0),IF($S50="上級",VLOOKUP($BE50,参照データ!$C$43:$U$56,8,0),"")))</f>
        <v/>
      </c>
      <c r="BU50" s="154" t="str">
        <f>IF($T50="初級",VLOOKUP($BE50,参照データ!$C$43:$U$56,9,0),IF($T50="上級",VLOOKUP($BE50,参照データ!$C$43:$U$56,10,0),""))</f>
        <v/>
      </c>
      <c r="BV50" s="154" t="str">
        <f>IF($U50="初級",VLOOKUP($BE50,参照データ!$C$43:$U$56,11,0),IF($U50="中級",VLOOKUP($BE50,参照データ!$C$43:$U$56,12,0),IF($U50="上級",VLOOKUP($BE50,参照データ!$C$43:$U$56,13,0),"")))</f>
        <v/>
      </c>
      <c r="BW50" s="154" t="str">
        <f>IF($V50="初級",VLOOKUP($BE50,参照データ!$C$43:$U$56,14,0),IF($V50="中級",VLOOKUP($BE50,参照データ!$C$43:$U$56,15,0),IF($V50="上級",VLOOKUP($BE50,参照データ!$C$43:$U$56,16,0),"")))</f>
        <v/>
      </c>
      <c r="BX50" s="47" t="str">
        <f t="shared" si="5"/>
        <v/>
      </c>
      <c r="BY50" s="47" t="str">
        <f>IF($W50="初級",VLOOKUP($BE50,参照データ!$C$43:$U$56,17,0),IF($W50="中級",VLOOKUP($BE50,参照データ!$C$43:$U$56,18,0),IF($W50="上級",VLOOKUP($BE50,参照データ!$C$43:$U$56,19,0),"")))</f>
        <v/>
      </c>
      <c r="BZ50" s="686">
        <v>20</v>
      </c>
      <c r="CA50" s="66" t="s">
        <v>262</v>
      </c>
      <c r="CB50" s="136" t="str">
        <f t="shared" si="13"/>
        <v/>
      </c>
      <c r="CC50" s="688" t="str">
        <f t="shared" ref="CC50" si="92">IF(OR($CB50="",$CB51=""),"",IF($CB50&gt;$CB51,$CB50,$CB51))</f>
        <v/>
      </c>
      <c r="CE50" s="53" t="str">
        <f>IF(AND($AZ50&gt;=参照データ!$C$67,$AZ50&lt;=参照データ!$C$65),1,IF(AND($AZ50&gt;=参照データ!$C$70,$AZ50&lt;=参照データ!$C$68),2,IF(AND($AZ50&gt;=参照データ!$C$73,$AZ50&lt;=参照データ!$C$71),3,IF(AND($AZ50&gt;=参照データ!$C$76,$AZ50&lt;=参照データ!$C$74),4,IF(AND($AZ50&gt;=参照データ!$C$79,$AZ50&lt;=参照データ!$C$77),5,IF(AND($AZ50&gt;0,$AZ50&lt;=参照データ!$C$80),6,""))))))</f>
        <v/>
      </c>
      <c r="CF50" s="141" t="str">
        <f>IF($Z50="○",(VLOOKUP($CE50,参照データ!$D$65:$J$82,2,0)),"")</f>
        <v/>
      </c>
      <c r="CG50" s="71" t="str">
        <f t="shared" si="14"/>
        <v/>
      </c>
      <c r="CH50" s="70" t="str">
        <f>IF($AB50="○",(VLOOKUP($CE50,参照データ!$D$65:$J$82,3,0)),"")</f>
        <v/>
      </c>
      <c r="CI50" s="71" t="str">
        <f t="shared" si="15"/>
        <v/>
      </c>
      <c r="CJ50" s="70" t="str">
        <f>IF($AD50="○",(VLOOKUP($CE50,参照データ!$D$65:$J$82,4,0)),"")</f>
        <v/>
      </c>
      <c r="CK50" s="71" t="str">
        <f t="shared" si="16"/>
        <v/>
      </c>
      <c r="CL50" s="70" t="str">
        <f>IF($AF50="○",(VLOOKUP($CE50,参照データ!$D$65:$J$82,5,0)),"")</f>
        <v/>
      </c>
      <c r="CM50" s="71" t="str">
        <f t="shared" si="6"/>
        <v/>
      </c>
      <c r="CN50" s="70" t="str">
        <f>IF($AH50="○",(VLOOKUP($CE50,参照データ!$D$65:$J$82,6,0)),"")</f>
        <v/>
      </c>
      <c r="CO50" s="71" t="str">
        <f t="shared" si="17"/>
        <v/>
      </c>
      <c r="CP50" s="33" t="str">
        <f t="shared" si="18"/>
        <v/>
      </c>
      <c r="CQ50" s="32" t="str">
        <f t="shared" si="19"/>
        <v/>
      </c>
      <c r="CR50" s="71" t="str">
        <f t="shared" si="20"/>
        <v/>
      </c>
      <c r="CS50" s="681">
        <v>20</v>
      </c>
      <c r="CT50" s="79" t="s">
        <v>123</v>
      </c>
      <c r="CU50" s="80" t="str">
        <f t="shared" si="21"/>
        <v/>
      </c>
      <c r="CV50" s="683" t="e">
        <f>IF($CU50&gt;$CU51,VLOOKUP($CU50,参照データ!$D$65:$J$82,7,0),VLOOKUP($CU51,参照データ!$D$65:$J$82,7,0))</f>
        <v>#N/A</v>
      </c>
      <c r="CW50" s="308" t="str">
        <f>IFERROR(VLOOKUP($CV50,参照データ!$J$65:$M$82,4,0),"")</f>
        <v/>
      </c>
      <c r="CX50" s="70"/>
      <c r="CY50" s="172" t="str">
        <f t="shared" si="22"/>
        <v/>
      </c>
      <c r="DA50" s="32"/>
      <c r="DB50" s="161" t="str">
        <f t="shared" si="23"/>
        <v/>
      </c>
      <c r="DC50" s="743">
        <v>20</v>
      </c>
      <c r="DD50" s="166" t="s">
        <v>123</v>
      </c>
      <c r="DE50" s="167" t="str">
        <f t="shared" si="44"/>
        <v/>
      </c>
      <c r="DF50" s="741" t="str">
        <f>IF(OR(DE50="",DE51=""),"",IF(DE50&gt;DE51,DE50,DE51))</f>
        <v/>
      </c>
      <c r="DG50" t="str">
        <f>IF($DH50="","",DATEDIF($AZ50,参照データ!$D$19,"Y"))</f>
        <v/>
      </c>
      <c r="DH50" s="253" t="str">
        <f>IFERROR(IF($BA50="男子",VLOOKUP($DO50,参照データ!$D$88:$E$117,2,0),$DO50),0)</f>
        <v/>
      </c>
      <c r="DI50" s="84" t="str">
        <f>IF($Z50="選手権",(VLOOKUP($DH50,参照データ!$D$88:$K$117,3,0)),"")</f>
        <v/>
      </c>
      <c r="DJ50" s="85" t="str">
        <f t="shared" si="83"/>
        <v/>
      </c>
      <c r="DK50" s="84" t="str">
        <f>IF($AB50="選手権",(VLOOKUP($DH50,参照データ!$D$88:$K$117,4,0)),"")</f>
        <v/>
      </c>
      <c r="DL50" s="85" t="str">
        <f t="shared" si="84"/>
        <v/>
      </c>
      <c r="DM50" s="84" t="str">
        <f>IF($AD50="選手権",(VLOOKUP($DH50,参照データ!$D$88:$K$117,5,0)),"")</f>
        <v/>
      </c>
      <c r="DN50" s="85" t="str">
        <f t="shared" si="85"/>
        <v/>
      </c>
      <c r="DO50" s="53" t="str">
        <f>IF(AND($AZ50&gt;=参照データ!$C$90,$AZ50&lt;=参照データ!$C$88),1,IF(AND($AZ50&gt;=参照データ!$C$93,$AZ50&lt;=参照データ!$C$91),2,IF(AND($AZ50&gt;=参照データ!$C$99,$AZ50&lt;=参照データ!$C$97),3,IF(AND($AZ50&gt;=参照データ!$C$105,$AZ50&lt;=参照データ!$C$103),4,IF(AND($AZ50&gt;=参照データ!$C$111,$AZ50&lt;=参照データ!$C$109),5,IF(AND($AZ50&gt;0,$AZ50&lt;=参照データ!$C$112),6,""))))))</f>
        <v/>
      </c>
      <c r="DP50" s="84" t="str">
        <f>IF($AF50="選手権",(VLOOKUP($DO50,参照データ!$D$88:$K$117,6,0)),"")</f>
        <v/>
      </c>
      <c r="DQ50" s="85" t="str">
        <f t="shared" si="10"/>
        <v/>
      </c>
      <c r="DR50" s="84" t="str">
        <f>IF($AH50="選手権",(VLOOKUP($DO50,参照データ!$D$88:$K$117,7,0)),"")</f>
        <v/>
      </c>
      <c r="DS50" s="85" t="str">
        <f t="shared" si="24"/>
        <v/>
      </c>
      <c r="DT50" s="33" t="str">
        <f t="shared" si="25"/>
        <v/>
      </c>
      <c r="DU50" s="32" t="str">
        <f t="shared" si="26"/>
        <v/>
      </c>
      <c r="DV50" s="85" t="str">
        <f t="shared" si="27"/>
        <v/>
      </c>
      <c r="DW50" s="736">
        <v>20</v>
      </c>
      <c r="DX50" s="93" t="s">
        <v>123</v>
      </c>
      <c r="DY50" s="94" t="str">
        <f t="shared" si="37"/>
        <v/>
      </c>
      <c r="DZ50" s="737" t="e">
        <f>IF($DY50&gt;$DY51,VLOOKUP($DY50,参照データ!$D$88:$K$117,8,0),VLOOKUP($DY51,参照データ!$D$88:$K$117,8,0))</f>
        <v>#N/A</v>
      </c>
      <c r="EA50" s="312" t="str">
        <f>IFERROR(VLOOKUP($DZ50,参照データ!$K$88:$O$117,5,0),"")</f>
        <v/>
      </c>
      <c r="EC50" s="491" t="str">
        <f t="shared" si="28"/>
        <v/>
      </c>
      <c r="EH50" s="35">
        <f>(COUNTIF($J50:$O50,"&lt;&gt;"))*参照データ!$E$3</f>
        <v>0</v>
      </c>
      <c r="EI50" s="219" t="str">
        <f>IF(P50="○",参照データ!$E$5,"")</f>
        <v/>
      </c>
      <c r="EJ50" s="219" t="str">
        <f>IF($Y50="○",参照データ!$E$4,"")</f>
        <v/>
      </c>
      <c r="EK50" s="18">
        <f>(SUM(COUNTIF($R50:$V50,{"入門","初級"}))*参照データ!$E$9)+(SUM(COUNTIF($R50:$V50,{"中級","上級"})*参照データ!$E$10))</f>
        <v>0</v>
      </c>
      <c r="EL50" s="18">
        <f>IFERROR(VLOOKUP($W50,参照データ!$D$9:$J$11,7,0),0)</f>
        <v>0</v>
      </c>
      <c r="EM50" s="18">
        <f>((COUNTIF($Z50:$AH50,"○"))*参照データ!$E$12)</f>
        <v>0</v>
      </c>
      <c r="EN50" s="18" t="str">
        <f>(IF($AJ50="○",参照データ!$J$12,""))</f>
        <v/>
      </c>
      <c r="EQ50" s="18">
        <f>((COUNTIF($Z50:$AH50,"選手権"))*参照データ!$E$13)</f>
        <v>0</v>
      </c>
      <c r="ER50" s="18" t="str">
        <f>(IF($AJ50="選手権",参照データ!$J$13,""))</f>
        <v/>
      </c>
      <c r="ES50" s="18">
        <f>(COUNTIF($AQ50:$AR50,"&lt;&gt;"))*参照データ!$H$3</f>
        <v>0</v>
      </c>
      <c r="ET50" s="18"/>
      <c r="EU50" s="18" t="str">
        <f>IF(AV50&lt;&gt;"",参照データ!$H$15,"")</f>
        <v/>
      </c>
      <c r="EV50" s="98" cm="1">
        <f t="array" ref="EV50">SUM(IF(ISERROR(EH50:EU50),0,(EH50:EU50)))</f>
        <v>0</v>
      </c>
      <c r="EW50" s="18"/>
      <c r="EX50" s="18">
        <f t="shared" si="86"/>
        <v>0</v>
      </c>
      <c r="EY50" s="18">
        <f t="shared" si="29"/>
        <v>0</v>
      </c>
      <c r="EZ50" s="18">
        <f t="shared" si="38"/>
        <v>0</v>
      </c>
      <c r="FA50" s="18">
        <f t="shared" si="30"/>
        <v>0</v>
      </c>
      <c r="FB50" s="18">
        <f t="shared" si="31"/>
        <v>0</v>
      </c>
      <c r="FC50" s="18">
        <f t="shared" si="32"/>
        <v>0</v>
      </c>
      <c r="FD50" s="18">
        <f t="shared" si="12"/>
        <v>0</v>
      </c>
      <c r="FE50" t="str">
        <f t="shared" si="33"/>
        <v/>
      </c>
    </row>
    <row r="51" spans="1:161" ht="18.75" customHeight="1" x14ac:dyDescent="0.2">
      <c r="A51">
        <v>40</v>
      </c>
      <c r="B51" s="14" t="str">
        <f>IF(D51="","",IF(D51="重複","",COUNTIF(B$12:$B50,"&gt;0")+1))</f>
        <v/>
      </c>
      <c r="C51" s="464"/>
      <c r="D51" s="177"/>
      <c r="E51" s="177"/>
      <c r="F51" s="31"/>
      <c r="G51" s="41"/>
      <c r="H51" s="351">
        <f t="shared" si="34"/>
        <v>0</v>
      </c>
      <c r="I51" s="193" t="str">
        <f>IF($AZ51=0,"",DATEDIF($AZ51,参照データ!$D$16,"Y"))</f>
        <v/>
      </c>
      <c r="J51" s="36"/>
      <c r="K51" s="36"/>
      <c r="L51" s="36"/>
      <c r="M51" s="36"/>
      <c r="N51" s="36"/>
      <c r="O51" s="42"/>
      <c r="P51" s="345"/>
      <c r="Q51" s="345"/>
      <c r="R51" s="43"/>
      <c r="S51" s="244"/>
      <c r="T51" s="244"/>
      <c r="U51" s="244"/>
      <c r="V51" s="245"/>
      <c r="W51" s="248"/>
      <c r="X51" s="250"/>
      <c r="Y51" s="345"/>
      <c r="Z51" s="388"/>
      <c r="AA51" s="346" t="str">
        <f>IF($Z51="○",VLOOKUP($CE51,参照データ!$D$65:$M$82,9,0),IF($Z51="選手権",VLOOKUP($DH51,参照データ!$D$88:$O$117,10,0),""))</f>
        <v/>
      </c>
      <c r="AB51" s="388"/>
      <c r="AC51" s="346" t="str">
        <f>IF($AB51="○",VLOOKUP($CE51,参照データ!$D$65:$M$82,10,0),IF($AB51="選手権",VLOOKUP($DH51,参照データ!$D$88:$O$117,11,0),""))</f>
        <v/>
      </c>
      <c r="AD51" s="388"/>
      <c r="AE51" s="346" t="str">
        <f>IF($AD51="○",VLOOKUP($CE51,参照データ!$D$65:$M$82,10,0),IF($AD51="選手権",VLOOKUP($DH51,参照データ!$D$88:$O$117,11,0),""))</f>
        <v/>
      </c>
      <c r="AF51" s="388"/>
      <c r="AG51" s="346" t="str">
        <f>IF($AF51="○",VLOOKUP($CE51,参照データ!$D$65:$M$82,10,0),IF($AF51="選手権",VLOOKUP($DO51,参照データ!$D$88:$O$117,12,0),""))</f>
        <v/>
      </c>
      <c r="AH51" s="388"/>
      <c r="AI51" s="346" t="str">
        <f>IF($AH51="○",VLOOKUP($CE51,参照データ!$D$65:$M$82,10,0),IF($AH51="選手権",VLOOKUP($DO51,参照データ!$D$88:$O$117,12,0),""))</f>
        <v/>
      </c>
      <c r="AJ51" s="388"/>
      <c r="AK51" s="511"/>
      <c r="AL51" s="346" t="str">
        <f t="shared" si="80"/>
        <v/>
      </c>
      <c r="AM51" s="392"/>
      <c r="AN51" s="391"/>
      <c r="AO51" s="391"/>
      <c r="AP51" s="447"/>
      <c r="AQ51" s="321"/>
      <c r="AR51" s="481"/>
      <c r="AS51" s="393"/>
      <c r="AT51" s="483"/>
      <c r="AU51" s="393"/>
      <c r="AV51" s="529"/>
      <c r="AW51" s="483"/>
      <c r="AZ51">
        <f t="shared" si="50"/>
        <v>0</v>
      </c>
      <c r="BA51" t="str">
        <f t="shared" si="35"/>
        <v/>
      </c>
      <c r="BB51" s="132"/>
      <c r="BD51" s="513" t="str">
        <f t="shared" si="81"/>
        <v/>
      </c>
      <c r="BE51" s="53" t="str">
        <f>IF($AZ51=0,"",IF(AND($I51&gt;=6,$I51&lt;=19),VLOOKUP($I51,参照データ!$B$24:$C$37,2,0),IF($I51&lt;6,6,19)))</f>
        <v/>
      </c>
      <c r="BF51" s="155" t="str">
        <f>IF($J51="○",VLOOKUP($BE51,参照データ!$C$24:$I$37,2,0),"")</f>
        <v/>
      </c>
      <c r="BG51" s="146" t="str">
        <f>IF($K51="○",VLOOKUP($BE51,参照データ!$C$24:$I$37,3,0),"")</f>
        <v/>
      </c>
      <c r="BH51" s="146" t="str">
        <f>IF($L51="○",VLOOKUP($BE51,参照データ!$C$24:$I$37,4,0),"")</f>
        <v/>
      </c>
      <c r="BI51" s="146" t="str">
        <f>IF($M51="○",VLOOKUP($BE51,参照データ!$C$24:$I$37,5,0),"")</f>
        <v/>
      </c>
      <c r="BJ51" s="146" t="str">
        <f>IF($N51="20日",VLOOKUP($BE51,参照データ!$C$24:$I$37,6,0),"")</f>
        <v/>
      </c>
      <c r="BK51" s="156" t="str">
        <f>IF($O51="20日",VLOOKUP($BE51,参照データ!$C$24:$I$37,7,0),"")</f>
        <v/>
      </c>
      <c r="BL51" s="155" t="str">
        <f>IF($J51="21日",VLOOKUP($BE51,参照データ!$C$24:$I$37,2,0),"")</f>
        <v/>
      </c>
      <c r="BM51" s="146" t="str">
        <f>IF($K51="21日",VLOOKUP($BE51,参照データ!$C$24:$I$37,3,0),"")</f>
        <v/>
      </c>
      <c r="BN51" s="146" t="str">
        <f>IF($L51="21日",VLOOKUP($BE51,参照データ!$C$24:$I$37,4,0),"")</f>
        <v/>
      </c>
      <c r="BO51" s="146" t="str">
        <f>IF($M51="21日",VLOOKUP($BE51,参照データ!$C$24:$I$37,5,0),"")</f>
        <v/>
      </c>
      <c r="BP51" s="146" t="str">
        <f>IF($N51="21日",VLOOKUP($BE51,参照データ!$C$24:$I$37,6,0),"")</f>
        <v/>
      </c>
      <c r="BQ51" s="156" t="str">
        <f>IF($O51="21日",VLOOKUP($BE51,参照データ!$C$24:$I$37,7,0),"")</f>
        <v/>
      </c>
      <c r="BR51" s="223" t="str">
        <f t="shared" si="42"/>
        <v/>
      </c>
      <c r="BS51" s="154" t="str">
        <f>IF($R51="入門",VLOOKUP($BE51,参照データ!$C$43:$U$56,2,0),IF($R51="初級",VLOOKUP($BE51,参照データ!$C$43:$U$56,3,0),IF($R51="中級",VLOOKUP($BE51,参照データ!$C$43:$U$56,4,0),IF($R51="上級",VLOOKUP($BE51,参照データ!$C$43:$U$56,5,0),""))))</f>
        <v/>
      </c>
      <c r="BT51" s="154" t="str">
        <f>IF($S51="初級",VLOOKUP($BE51,参照データ!$C$43:$U$56,6,0),IF($S51="中級",VLOOKUP($BE51,参照データ!$C$43:$U$56,7,0),IF($S51="上級",VLOOKUP($BE51,参照データ!$C$43:$U$56,8,0),"")))</f>
        <v/>
      </c>
      <c r="BU51" s="154" t="str">
        <f>IF($T51="初級",VLOOKUP($BE51,参照データ!$C$43:$U$56,9,0),IF($T51="上級",VLOOKUP($BE51,参照データ!$C$43:$U$56,10,0),""))</f>
        <v/>
      </c>
      <c r="BV51" s="154" t="str">
        <f>IF($U51="初級",VLOOKUP($BE51,参照データ!$C$43:$U$56,11,0),IF($U51="中級",VLOOKUP($BE51,参照データ!$C$43:$U$56,12,0),IF($U51="上級",VLOOKUP($BE51,参照データ!$C$43:$U$56,13,0),"")))</f>
        <v/>
      </c>
      <c r="BW51" s="154" t="str">
        <f>IF($V51="初級",VLOOKUP($BE51,参照データ!$C$43:$U$56,14,0),IF($V51="中級",VLOOKUP($BE51,参照データ!$C$43:$U$56,15,0),IF($V51="上級",VLOOKUP($BE51,参照データ!$C$43:$U$56,16,0),"")))</f>
        <v/>
      </c>
      <c r="BX51" s="47" t="str">
        <f t="shared" si="5"/>
        <v/>
      </c>
      <c r="BY51" s="47" t="str">
        <f>IF($W51="初級",VLOOKUP($BE51,参照データ!$C$43:$U$56,17,0),IF($W51="中級",VLOOKUP($BE51,参照データ!$C$43:$U$56,18,0),IF($W51="上級",VLOOKUP($BE51,参照データ!$C$43:$U$56,19,0),"")))</f>
        <v/>
      </c>
      <c r="BZ51" s="687"/>
      <c r="CA51" s="65" t="s">
        <v>263</v>
      </c>
      <c r="CB51" s="135" t="str">
        <f t="shared" si="13"/>
        <v/>
      </c>
      <c r="CC51" s="689"/>
      <c r="CE51" s="53" t="str">
        <f>IF(AND($AZ51&gt;=参照データ!$C$67,$AZ51&lt;=参照データ!$C$65),1,IF(AND($AZ51&gt;=参照データ!$C$70,$AZ51&lt;=参照データ!$C$68),2,IF(AND($AZ51&gt;=参照データ!$C$73,$AZ51&lt;=参照データ!$C$71),3,IF(AND($AZ51&gt;=参照データ!$C$76,$AZ51&lt;=参照データ!$C$74),4,IF(AND($AZ51&gt;=参照データ!$C$79,$AZ51&lt;=参照データ!$C$77),5,IF(AND($AZ51&gt;0,$AZ51&lt;=参照データ!$C$80),6,""))))))</f>
        <v/>
      </c>
      <c r="CF51" s="141" t="str">
        <f>IF($Z51="○",(VLOOKUP($CE51,参照データ!$D$65:$J$82,2,0)),"")</f>
        <v/>
      </c>
      <c r="CG51" s="71" t="str">
        <f t="shared" si="14"/>
        <v/>
      </c>
      <c r="CH51" s="70" t="str">
        <f>IF($AB51="○",(VLOOKUP($CE51,参照データ!$D$65:$J$82,3,0)),"")</f>
        <v/>
      </c>
      <c r="CI51" s="71" t="str">
        <f t="shared" si="15"/>
        <v/>
      </c>
      <c r="CJ51" s="70" t="str">
        <f>IF($AD51="○",(VLOOKUP($CE51,参照データ!$D$65:$J$82,4,0)),"")</f>
        <v/>
      </c>
      <c r="CK51" s="71" t="str">
        <f t="shared" si="16"/>
        <v/>
      </c>
      <c r="CL51" s="70" t="str">
        <f>IF($AF51="○",(VLOOKUP($CE51,参照データ!$D$65:$J$82,5,0)),"")</f>
        <v/>
      </c>
      <c r="CM51" s="71" t="str">
        <f t="shared" si="6"/>
        <v/>
      </c>
      <c r="CN51" s="70" t="str">
        <f>IF($AH51="○",(VLOOKUP($CE51,参照データ!$D$65:$J$82,6,0)),"")</f>
        <v/>
      </c>
      <c r="CO51" s="71" t="str">
        <f t="shared" si="17"/>
        <v/>
      </c>
      <c r="CP51" s="33" t="str">
        <f t="shared" si="18"/>
        <v/>
      </c>
      <c r="CQ51" s="32" t="str">
        <f t="shared" si="19"/>
        <v/>
      </c>
      <c r="CR51" s="71" t="str">
        <f t="shared" si="20"/>
        <v/>
      </c>
      <c r="CS51" s="682"/>
      <c r="CT51" s="77" t="s">
        <v>124</v>
      </c>
      <c r="CU51" s="78" t="str">
        <f t="shared" si="21"/>
        <v/>
      </c>
      <c r="CV51" s="684"/>
      <c r="CW51" s="308" t="str">
        <f t="shared" ref="CW51" si="93">$CW50</f>
        <v/>
      </c>
      <c r="CX51" s="70"/>
      <c r="CY51" s="172" t="str">
        <f t="shared" si="22"/>
        <v/>
      </c>
      <c r="DA51" s="32"/>
      <c r="DB51" s="161" t="str">
        <f t="shared" si="23"/>
        <v/>
      </c>
      <c r="DC51" s="744"/>
      <c r="DD51" s="164" t="s">
        <v>124</v>
      </c>
      <c r="DE51" s="165" t="str">
        <f t="shared" si="44"/>
        <v/>
      </c>
      <c r="DF51" s="742"/>
      <c r="DG51" t="str">
        <f>IF($DH51="","",DATEDIF($AZ51,参照データ!$D$19,"Y"))</f>
        <v/>
      </c>
      <c r="DH51" s="253" t="str">
        <f>IFERROR(IF($BA51="男子",VLOOKUP($DO51,参照データ!$D$88:$E$117,2,0),$DO51),0)</f>
        <v/>
      </c>
      <c r="DI51" s="84" t="str">
        <f>IF($Z51="選手権",(VLOOKUP($DH51,参照データ!$D$88:$K$117,3,0)),"")</f>
        <v/>
      </c>
      <c r="DJ51" s="85" t="str">
        <f t="shared" si="83"/>
        <v/>
      </c>
      <c r="DK51" s="84" t="str">
        <f>IF($AB51="選手権",(VLOOKUP($DH51,参照データ!$D$88:$K$117,4,0)),"")</f>
        <v/>
      </c>
      <c r="DL51" s="85" t="str">
        <f t="shared" si="84"/>
        <v/>
      </c>
      <c r="DM51" s="84" t="str">
        <f>IF($AD51="選手権",(VLOOKUP($DH51,参照データ!$D$88:$K$117,5,0)),"")</f>
        <v/>
      </c>
      <c r="DN51" s="85" t="str">
        <f t="shared" si="85"/>
        <v/>
      </c>
      <c r="DO51" s="53" t="str">
        <f>IF(AND($AZ51&gt;=参照データ!$C$90,$AZ51&lt;=参照データ!$C$88),1,IF(AND($AZ51&gt;=参照データ!$C$93,$AZ51&lt;=参照データ!$C$91),2,IF(AND($AZ51&gt;=参照データ!$C$99,$AZ51&lt;=参照データ!$C$97),3,IF(AND($AZ51&gt;=参照データ!$C$105,$AZ51&lt;=参照データ!$C$103),4,IF(AND($AZ51&gt;=参照データ!$C$111,$AZ51&lt;=参照データ!$C$109),5,IF(AND($AZ51&gt;0,$AZ51&lt;=参照データ!$C$112),6,""))))))</f>
        <v/>
      </c>
      <c r="DP51" s="84" t="str">
        <f>IF($AF51="選手権",(VLOOKUP($DO51,参照データ!$D$88:$K$117,6,0)),"")</f>
        <v/>
      </c>
      <c r="DQ51" s="85" t="str">
        <f t="shared" si="10"/>
        <v/>
      </c>
      <c r="DR51" s="84" t="str">
        <f>IF($AH51="選手権",(VLOOKUP($DO51,参照データ!$D$88:$K$117,7,0)),"")</f>
        <v/>
      </c>
      <c r="DS51" s="85" t="str">
        <f t="shared" si="24"/>
        <v/>
      </c>
      <c r="DT51" s="33" t="str">
        <f t="shared" si="25"/>
        <v/>
      </c>
      <c r="DU51" s="32" t="str">
        <f t="shared" si="26"/>
        <v/>
      </c>
      <c r="DV51" s="85" t="str">
        <f t="shared" si="27"/>
        <v/>
      </c>
      <c r="DW51" s="733"/>
      <c r="DX51" s="91" t="s">
        <v>124</v>
      </c>
      <c r="DY51" s="92" t="str">
        <f t="shared" si="37"/>
        <v/>
      </c>
      <c r="DZ51" s="735"/>
      <c r="EA51" s="312" t="str">
        <f t="shared" ref="EA51" si="94">$EA50</f>
        <v/>
      </c>
      <c r="EC51" s="491" t="str">
        <f t="shared" si="28"/>
        <v/>
      </c>
      <c r="EH51" s="35">
        <f>(COUNTIF($J51:$O51,"&lt;&gt;"))*参照データ!$E$3</f>
        <v>0</v>
      </c>
      <c r="EI51" s="219" t="str">
        <f>IF(P51="○",参照データ!$E$5,"")</f>
        <v/>
      </c>
      <c r="EJ51" s="219" t="str">
        <f>IF($Y51="○",参照データ!$E$4,"")</f>
        <v/>
      </c>
      <c r="EK51" s="18">
        <f>(SUM(COUNTIF($R51:$V51,{"入門","初級"}))*参照データ!$E$9)+(SUM(COUNTIF($R51:$V51,{"中級","上級"})*参照データ!$E$10))</f>
        <v>0</v>
      </c>
      <c r="EL51" s="18">
        <f>IFERROR(VLOOKUP($W51,参照データ!$D$9:$J$11,7,0),0)</f>
        <v>0</v>
      </c>
      <c r="EM51" s="18">
        <f>((COUNTIF($Z51:$AH51,"○"))*参照データ!$E$12)</f>
        <v>0</v>
      </c>
      <c r="EN51" s="18" t="str">
        <f>(IF($AJ51="○",参照データ!$J$12,""))</f>
        <v/>
      </c>
      <c r="EQ51" s="18">
        <f>((COUNTIF($Z51:$AH51,"選手権"))*参照データ!$E$13)</f>
        <v>0</v>
      </c>
      <c r="ER51" s="18" t="str">
        <f>(IF($AJ51="選手権",参照データ!$J$13,""))</f>
        <v/>
      </c>
      <c r="ES51" s="18">
        <f>(COUNTIF($AQ51:$AR51,"&lt;&gt;"))*参照データ!$H$3</f>
        <v>0</v>
      </c>
      <c r="ET51" s="18"/>
      <c r="EU51" s="18" t="str">
        <f>IF(AV51&lt;&gt;"",参照データ!$H$15,"")</f>
        <v/>
      </c>
      <c r="EV51" s="98" cm="1">
        <f t="array" ref="EV51">SUM(IF(ISERROR(EH51:EU51),0,(EH51:EU51)))</f>
        <v>0</v>
      </c>
      <c r="EW51" s="18"/>
      <c r="EX51" s="18">
        <f t="shared" si="86"/>
        <v>0</v>
      </c>
      <c r="EY51" s="18">
        <f t="shared" si="29"/>
        <v>0</v>
      </c>
      <c r="EZ51" s="18">
        <f t="shared" si="38"/>
        <v>0</v>
      </c>
      <c r="FA51" s="18">
        <f t="shared" si="30"/>
        <v>0</v>
      </c>
      <c r="FB51" s="18">
        <f t="shared" si="31"/>
        <v>0</v>
      </c>
      <c r="FC51" s="18">
        <f t="shared" si="32"/>
        <v>0</v>
      </c>
      <c r="FD51" s="18">
        <f t="shared" si="12"/>
        <v>0</v>
      </c>
      <c r="FE51" t="str">
        <f t="shared" si="33"/>
        <v/>
      </c>
    </row>
    <row r="52" spans="1:161" ht="18.75" customHeight="1" x14ac:dyDescent="0.2">
      <c r="A52">
        <v>41</v>
      </c>
      <c r="B52" s="14" t="str">
        <f>IF(D52="","",IF(D52="重複","",COUNTIF(B$12:$B51,"&gt;0")+1))</f>
        <v/>
      </c>
      <c r="C52" s="464"/>
      <c r="D52" s="177"/>
      <c r="E52" s="177"/>
      <c r="F52" s="31"/>
      <c r="G52" s="41"/>
      <c r="H52" s="351">
        <f t="shared" si="34"/>
        <v>0</v>
      </c>
      <c r="I52" s="193" t="str">
        <f>IF($AZ52=0,"",DATEDIF($AZ52,参照データ!$D$16,"Y"))</f>
        <v/>
      </c>
      <c r="J52" s="36"/>
      <c r="K52" s="36"/>
      <c r="L52" s="36"/>
      <c r="M52" s="36"/>
      <c r="N52" s="36"/>
      <c r="O52" s="42"/>
      <c r="P52" s="345"/>
      <c r="Q52" s="345"/>
      <c r="R52" s="43"/>
      <c r="S52" s="244"/>
      <c r="T52" s="244"/>
      <c r="U52" s="244"/>
      <c r="V52" s="245"/>
      <c r="W52" s="248"/>
      <c r="X52" s="250"/>
      <c r="Y52" s="345"/>
      <c r="Z52" s="388"/>
      <c r="AA52" s="346" t="str">
        <f>IF($Z52="○",VLOOKUP($CE52,参照データ!$D$65:$M$82,9,0),IF($Z52="選手権",VLOOKUP($DH52,参照データ!$D$88:$O$117,10,0),""))</f>
        <v/>
      </c>
      <c r="AB52" s="388"/>
      <c r="AC52" s="346" t="str">
        <f>IF($AB52="○",VLOOKUP($CE52,参照データ!$D$65:$M$82,10,0),IF($AB52="選手権",VLOOKUP($DH52,参照データ!$D$88:$O$117,11,0),""))</f>
        <v/>
      </c>
      <c r="AD52" s="388"/>
      <c r="AE52" s="346" t="str">
        <f>IF($AD52="○",VLOOKUP($CE52,参照データ!$D$65:$M$82,10,0),IF($AD52="選手権",VLOOKUP($DH52,参照データ!$D$88:$O$117,11,0),""))</f>
        <v/>
      </c>
      <c r="AF52" s="388"/>
      <c r="AG52" s="346" t="str">
        <f>IF($AF52="○",VLOOKUP($CE52,参照データ!$D$65:$M$82,10,0),IF($AF52="選手権",VLOOKUP($DO52,参照データ!$D$88:$O$117,12,0),""))</f>
        <v/>
      </c>
      <c r="AH52" s="388"/>
      <c r="AI52" s="346" t="str">
        <f>IF($AH52="○",VLOOKUP($CE52,参照データ!$D$65:$M$82,10,0),IF($AH52="選手権",VLOOKUP($DO52,参照データ!$D$88:$O$117,12,0),""))</f>
        <v/>
      </c>
      <c r="AJ52" s="388"/>
      <c r="AK52" s="511"/>
      <c r="AL52" s="346" t="str">
        <f t="shared" si="80"/>
        <v/>
      </c>
      <c r="AM52" s="392"/>
      <c r="AN52" s="391"/>
      <c r="AO52" s="391"/>
      <c r="AP52" s="447"/>
      <c r="AQ52" s="321"/>
      <c r="AR52" s="481"/>
      <c r="AS52" s="393"/>
      <c r="AT52" s="483"/>
      <c r="AU52" s="393"/>
      <c r="AV52" s="529"/>
      <c r="AW52" s="483"/>
      <c r="AZ52">
        <f t="shared" si="50"/>
        <v>0</v>
      </c>
      <c r="BA52" t="str">
        <f t="shared" si="35"/>
        <v/>
      </c>
      <c r="BB52" s="132"/>
      <c r="BD52" s="513" t="str">
        <f t="shared" si="81"/>
        <v/>
      </c>
      <c r="BE52" s="53" t="str">
        <f>IF($AZ52=0,"",IF(AND($I52&gt;=6,$I52&lt;=19),VLOOKUP($I52,参照データ!$B$24:$C$37,2,0),IF($I52&lt;6,6,19)))</f>
        <v/>
      </c>
      <c r="BF52" s="155" t="str">
        <f>IF($J52="○",VLOOKUP($BE52,参照データ!$C$24:$I$37,2,0),"")</f>
        <v/>
      </c>
      <c r="BG52" s="146" t="str">
        <f>IF($K52="○",VLOOKUP($BE52,参照データ!$C$24:$I$37,3,0),"")</f>
        <v/>
      </c>
      <c r="BH52" s="146" t="str">
        <f>IF($L52="○",VLOOKUP($BE52,参照データ!$C$24:$I$37,4,0),"")</f>
        <v/>
      </c>
      <c r="BI52" s="146" t="str">
        <f>IF($M52="○",VLOOKUP($BE52,参照データ!$C$24:$I$37,5,0),"")</f>
        <v/>
      </c>
      <c r="BJ52" s="146" t="str">
        <f>IF($N52="20日",VLOOKUP($BE52,参照データ!$C$24:$I$37,6,0),"")</f>
        <v/>
      </c>
      <c r="BK52" s="156" t="str">
        <f>IF($O52="20日",VLOOKUP($BE52,参照データ!$C$24:$I$37,7,0),"")</f>
        <v/>
      </c>
      <c r="BL52" s="155" t="str">
        <f>IF($J52="21日",VLOOKUP($BE52,参照データ!$C$24:$I$37,2,0),"")</f>
        <v/>
      </c>
      <c r="BM52" s="146" t="str">
        <f>IF($K52="21日",VLOOKUP($BE52,参照データ!$C$24:$I$37,3,0),"")</f>
        <v/>
      </c>
      <c r="BN52" s="146" t="str">
        <f>IF($L52="21日",VLOOKUP($BE52,参照データ!$C$24:$I$37,4,0),"")</f>
        <v/>
      </c>
      <c r="BO52" s="146" t="str">
        <f>IF($M52="21日",VLOOKUP($BE52,参照データ!$C$24:$I$37,5,0),"")</f>
        <v/>
      </c>
      <c r="BP52" s="146" t="str">
        <f>IF($N52="21日",VLOOKUP($BE52,参照データ!$C$24:$I$37,6,0),"")</f>
        <v/>
      </c>
      <c r="BQ52" s="156" t="str">
        <f>IF($O52="21日",VLOOKUP($BE52,参照データ!$C$24:$I$37,7,0),"")</f>
        <v/>
      </c>
      <c r="BR52" s="223" t="str">
        <f t="shared" si="42"/>
        <v/>
      </c>
      <c r="BS52" s="154" t="str">
        <f>IF($R52="入門",VLOOKUP($BE52,参照データ!$C$43:$U$56,2,0),IF($R52="初級",VLOOKUP($BE52,参照データ!$C$43:$U$56,3,0),IF($R52="中級",VLOOKUP($BE52,参照データ!$C$43:$U$56,4,0),IF($R52="上級",VLOOKUP($BE52,参照データ!$C$43:$U$56,5,0),""))))</f>
        <v/>
      </c>
      <c r="BT52" s="154" t="str">
        <f>IF($S52="初級",VLOOKUP($BE52,参照データ!$C$43:$U$56,6,0),IF($S52="中級",VLOOKUP($BE52,参照データ!$C$43:$U$56,7,0),IF($S52="上級",VLOOKUP($BE52,参照データ!$C$43:$U$56,8,0),"")))</f>
        <v/>
      </c>
      <c r="BU52" s="154" t="str">
        <f>IF($T52="初級",VLOOKUP($BE52,参照データ!$C$43:$U$56,9,0),IF($T52="上級",VLOOKUP($BE52,参照データ!$C$43:$U$56,10,0),""))</f>
        <v/>
      </c>
      <c r="BV52" s="154" t="str">
        <f>IF($U52="初級",VLOOKUP($BE52,参照データ!$C$43:$U$56,11,0),IF($U52="中級",VLOOKUP($BE52,参照データ!$C$43:$U$56,12,0),IF($U52="上級",VLOOKUP($BE52,参照データ!$C$43:$U$56,13,0),"")))</f>
        <v/>
      </c>
      <c r="BW52" s="154" t="str">
        <f>IF($V52="初級",VLOOKUP($BE52,参照データ!$C$43:$U$56,14,0),IF($V52="中級",VLOOKUP($BE52,参照データ!$C$43:$U$56,15,0),IF($V52="上級",VLOOKUP($BE52,参照データ!$C$43:$U$56,16,0),"")))</f>
        <v/>
      </c>
      <c r="BX52" s="47" t="str">
        <f t="shared" si="5"/>
        <v/>
      </c>
      <c r="BY52" s="47" t="str">
        <f>IF($W52="初級",VLOOKUP($BE52,参照データ!$C$43:$U$56,17,0),IF($W52="中級",VLOOKUP($BE52,参照データ!$C$43:$U$56,18,0),IF($W52="上級",VLOOKUP($BE52,参照データ!$C$43:$U$56,19,0),"")))</f>
        <v/>
      </c>
      <c r="BZ52" s="686">
        <v>21</v>
      </c>
      <c r="CA52" s="66" t="s">
        <v>264</v>
      </c>
      <c r="CB52" s="136" t="str">
        <f t="shared" si="13"/>
        <v/>
      </c>
      <c r="CC52" s="688" t="str">
        <f t="shared" ref="CC52" si="95">IF(OR($CB52="",$CB53=""),"",IF($CB52&gt;$CB53,$CB52,$CB53))</f>
        <v/>
      </c>
      <c r="CE52" s="53" t="str">
        <f>IF(AND($AZ52&gt;=参照データ!$C$67,$AZ52&lt;=参照データ!$C$65),1,IF(AND($AZ52&gt;=参照データ!$C$70,$AZ52&lt;=参照データ!$C$68),2,IF(AND($AZ52&gt;=参照データ!$C$73,$AZ52&lt;=参照データ!$C$71),3,IF(AND($AZ52&gt;=参照データ!$C$76,$AZ52&lt;=参照データ!$C$74),4,IF(AND($AZ52&gt;=参照データ!$C$79,$AZ52&lt;=参照データ!$C$77),5,IF(AND($AZ52&gt;0,$AZ52&lt;=参照データ!$C$80),6,""))))))</f>
        <v/>
      </c>
      <c r="CF52" s="141" t="str">
        <f>IF($Z52="○",(VLOOKUP($CE52,参照データ!$D$65:$J$82,2,0)),"")</f>
        <v/>
      </c>
      <c r="CG52" s="71" t="str">
        <f t="shared" si="14"/>
        <v/>
      </c>
      <c r="CH52" s="70" t="str">
        <f>IF($AB52="○",(VLOOKUP($CE52,参照データ!$D$65:$J$82,3,0)),"")</f>
        <v/>
      </c>
      <c r="CI52" s="71" t="str">
        <f t="shared" si="15"/>
        <v/>
      </c>
      <c r="CJ52" s="70" t="str">
        <f>IF($AD52="○",(VLOOKUP($CE52,参照データ!$D$65:$J$82,4,0)),"")</f>
        <v/>
      </c>
      <c r="CK52" s="71" t="str">
        <f t="shared" si="16"/>
        <v/>
      </c>
      <c r="CL52" s="70" t="str">
        <f>IF($AF52="○",(VLOOKUP($CE52,参照データ!$D$65:$J$82,5,0)),"")</f>
        <v/>
      </c>
      <c r="CM52" s="71" t="str">
        <f t="shared" si="6"/>
        <v/>
      </c>
      <c r="CN52" s="70" t="str">
        <f>IF($AH52="○",(VLOOKUP($CE52,参照データ!$D$65:$J$82,6,0)),"")</f>
        <v/>
      </c>
      <c r="CO52" s="71" t="str">
        <f t="shared" si="17"/>
        <v/>
      </c>
      <c r="CP52" s="33" t="str">
        <f t="shared" si="18"/>
        <v/>
      </c>
      <c r="CQ52" s="32" t="str">
        <f t="shared" si="19"/>
        <v/>
      </c>
      <c r="CR52" s="71" t="str">
        <f t="shared" si="20"/>
        <v/>
      </c>
      <c r="CS52" s="681">
        <v>21</v>
      </c>
      <c r="CT52" s="79" t="s">
        <v>125</v>
      </c>
      <c r="CU52" s="80" t="str">
        <f t="shared" si="21"/>
        <v/>
      </c>
      <c r="CV52" s="683" t="e">
        <f>IF($CU52&gt;$CU53,VLOOKUP($CU52,参照データ!$D$65:$J$82,7,0),VLOOKUP($CU53,参照データ!$D$65:$J$82,7,0))</f>
        <v>#N/A</v>
      </c>
      <c r="CW52" s="308" t="str">
        <f>IFERROR(VLOOKUP($CV52,参照データ!$J$65:$M$82,4,0),"")</f>
        <v/>
      </c>
      <c r="CX52" s="70"/>
      <c r="CY52" s="172" t="str">
        <f t="shared" si="22"/>
        <v/>
      </c>
      <c r="DA52" s="32"/>
      <c r="DB52" s="161" t="str">
        <f t="shared" si="23"/>
        <v/>
      </c>
      <c r="DC52" s="743">
        <v>21</v>
      </c>
      <c r="DD52" s="166" t="s">
        <v>125</v>
      </c>
      <c r="DE52" s="167" t="str">
        <f t="shared" si="44"/>
        <v/>
      </c>
      <c r="DF52" s="741" t="str">
        <f>IF(OR(DE52="",DE53=""),"",IF(DE52&gt;DE53,DE52,DE53))</f>
        <v/>
      </c>
      <c r="DG52" t="str">
        <f>IF($DH52="","",DATEDIF($AZ52,参照データ!$D$19,"Y"))</f>
        <v/>
      </c>
      <c r="DH52" s="253" t="str">
        <f>IFERROR(IF($BA52="男子",VLOOKUP($DO52,参照データ!$D$88:$E$117,2,0),$DO52),0)</f>
        <v/>
      </c>
      <c r="DI52" s="84" t="str">
        <f>IF($Z52="選手権",(VLOOKUP($DH52,参照データ!$D$88:$K$117,3,0)),"")</f>
        <v/>
      </c>
      <c r="DJ52" s="85" t="str">
        <f t="shared" si="83"/>
        <v/>
      </c>
      <c r="DK52" s="84" t="str">
        <f>IF($AB52="選手権",(VLOOKUP($DH52,参照データ!$D$88:$K$117,4,0)),"")</f>
        <v/>
      </c>
      <c r="DL52" s="85" t="str">
        <f t="shared" si="84"/>
        <v/>
      </c>
      <c r="DM52" s="84" t="str">
        <f>IF($AD52="選手権",(VLOOKUP($DH52,参照データ!$D$88:$K$117,5,0)),"")</f>
        <v/>
      </c>
      <c r="DN52" s="85" t="str">
        <f t="shared" si="85"/>
        <v/>
      </c>
      <c r="DO52" s="53" t="str">
        <f>IF(AND($AZ52&gt;=参照データ!$C$90,$AZ52&lt;=参照データ!$C$88),1,IF(AND($AZ52&gt;=参照データ!$C$93,$AZ52&lt;=参照データ!$C$91),2,IF(AND($AZ52&gt;=参照データ!$C$99,$AZ52&lt;=参照データ!$C$97),3,IF(AND($AZ52&gt;=参照データ!$C$105,$AZ52&lt;=参照データ!$C$103),4,IF(AND($AZ52&gt;=参照データ!$C$111,$AZ52&lt;=参照データ!$C$109),5,IF(AND($AZ52&gt;0,$AZ52&lt;=参照データ!$C$112),6,""))))))</f>
        <v/>
      </c>
      <c r="DP52" s="84" t="str">
        <f>IF($AF52="選手権",(VLOOKUP($DO52,参照データ!$D$88:$K$117,6,0)),"")</f>
        <v/>
      </c>
      <c r="DQ52" s="85" t="str">
        <f t="shared" si="10"/>
        <v/>
      </c>
      <c r="DR52" s="84" t="str">
        <f>IF($AH52="選手権",(VLOOKUP($DO52,参照データ!$D$88:$K$117,7,0)),"")</f>
        <v/>
      </c>
      <c r="DS52" s="85" t="str">
        <f t="shared" si="24"/>
        <v/>
      </c>
      <c r="DT52" s="33" t="str">
        <f t="shared" si="25"/>
        <v/>
      </c>
      <c r="DU52" s="32" t="str">
        <f t="shared" si="26"/>
        <v/>
      </c>
      <c r="DV52" s="85" t="str">
        <f t="shared" si="27"/>
        <v/>
      </c>
      <c r="DW52" s="736">
        <v>21</v>
      </c>
      <c r="DX52" s="93" t="s">
        <v>125</v>
      </c>
      <c r="DY52" s="94" t="str">
        <f t="shared" si="37"/>
        <v/>
      </c>
      <c r="DZ52" s="737" t="e">
        <f>IF($DY52&gt;$DY53,VLOOKUP($DY52,参照データ!$D$88:$K$117,8,0),VLOOKUP($DY53,参照データ!$D$88:$K$117,8,0))</f>
        <v>#N/A</v>
      </c>
      <c r="EA52" s="312" t="str">
        <f>IFERROR(VLOOKUP($DZ52,参照データ!$K$88:$O$117,5,0),"")</f>
        <v/>
      </c>
      <c r="EC52" s="491" t="str">
        <f t="shared" si="28"/>
        <v/>
      </c>
      <c r="EH52" s="35">
        <f>(COUNTIF($J52:$O52,"&lt;&gt;"))*参照データ!$E$3</f>
        <v>0</v>
      </c>
      <c r="EI52" s="219" t="str">
        <f>IF(P52="○",参照データ!$E$5,"")</f>
        <v/>
      </c>
      <c r="EJ52" s="219" t="str">
        <f>IF($Y52="○",参照データ!$E$4,"")</f>
        <v/>
      </c>
      <c r="EK52" s="18">
        <f>(SUM(COUNTIF($R52:$V52,{"入門","初級"}))*参照データ!$E$9)+(SUM(COUNTIF($R52:$V52,{"中級","上級"})*参照データ!$E$10))</f>
        <v>0</v>
      </c>
      <c r="EL52" s="18">
        <f>IFERROR(VLOOKUP($W52,参照データ!$D$9:$J$11,7,0),0)</f>
        <v>0</v>
      </c>
      <c r="EM52" s="18">
        <f>((COUNTIF($Z52:$AH52,"○"))*参照データ!$E$12)</f>
        <v>0</v>
      </c>
      <c r="EN52" s="18" t="str">
        <f>(IF($AJ52="○",参照データ!$J$12,""))</f>
        <v/>
      </c>
      <c r="EQ52" s="18">
        <f>((COUNTIF($Z52:$AH52,"選手権"))*参照データ!$E$13)</f>
        <v>0</v>
      </c>
      <c r="ER52" s="18" t="str">
        <f>(IF($AJ52="選手権",参照データ!$J$13,""))</f>
        <v/>
      </c>
      <c r="ES52" s="18">
        <f>(COUNTIF($AQ52:$AR52,"&lt;&gt;"))*参照データ!$H$3</f>
        <v>0</v>
      </c>
      <c r="ET52" s="18"/>
      <c r="EU52" s="18" t="str">
        <f>IF(AV52&lt;&gt;"",参照データ!$H$15,"")</f>
        <v/>
      </c>
      <c r="EV52" s="98" cm="1">
        <f t="array" ref="EV52">SUM(IF(ISERROR(EH52:EU52),0,(EH52:EU52)))</f>
        <v>0</v>
      </c>
      <c r="EW52" s="18"/>
      <c r="EX52" s="18">
        <f t="shared" si="86"/>
        <v>0</v>
      </c>
      <c r="EY52" s="18">
        <f t="shared" si="29"/>
        <v>0</v>
      </c>
      <c r="EZ52" s="18">
        <f t="shared" si="38"/>
        <v>0</v>
      </c>
      <c r="FA52" s="18">
        <f t="shared" si="30"/>
        <v>0</v>
      </c>
      <c r="FB52" s="18">
        <f t="shared" si="31"/>
        <v>0</v>
      </c>
      <c r="FC52" s="18">
        <f t="shared" si="32"/>
        <v>0</v>
      </c>
      <c r="FD52" s="18">
        <f t="shared" si="12"/>
        <v>0</v>
      </c>
      <c r="FE52" t="str">
        <f t="shared" si="33"/>
        <v/>
      </c>
    </row>
    <row r="53" spans="1:161" ht="18.75" customHeight="1" x14ac:dyDescent="0.2">
      <c r="A53">
        <v>42</v>
      </c>
      <c r="B53" s="14" t="str">
        <f>IF(D53="","",IF(D53="重複","",COUNTIF(B$12:$B52,"&gt;0")+1))</f>
        <v/>
      </c>
      <c r="C53" s="464"/>
      <c r="D53" s="177"/>
      <c r="E53" s="177"/>
      <c r="F53" s="31"/>
      <c r="G53" s="41"/>
      <c r="H53" s="351">
        <f t="shared" si="34"/>
        <v>0</v>
      </c>
      <c r="I53" s="193" t="str">
        <f>IF($AZ53=0,"",DATEDIF($AZ53,参照データ!$D$16,"Y"))</f>
        <v/>
      </c>
      <c r="J53" s="36"/>
      <c r="K53" s="36"/>
      <c r="L53" s="36"/>
      <c r="M53" s="36"/>
      <c r="N53" s="36"/>
      <c r="O53" s="42"/>
      <c r="P53" s="345"/>
      <c r="Q53" s="345"/>
      <c r="R53" s="43"/>
      <c r="S53" s="244"/>
      <c r="T53" s="244"/>
      <c r="U53" s="244"/>
      <c r="V53" s="245"/>
      <c r="W53" s="248"/>
      <c r="X53" s="250"/>
      <c r="Y53" s="345"/>
      <c r="Z53" s="388"/>
      <c r="AA53" s="346" t="str">
        <f>IF($Z53="○",VLOOKUP($CE53,参照データ!$D$65:$M$82,9,0),IF($Z53="選手権",VLOOKUP($DH53,参照データ!$D$88:$O$117,10,0),""))</f>
        <v/>
      </c>
      <c r="AB53" s="388"/>
      <c r="AC53" s="346" t="str">
        <f>IF($AB53="○",VLOOKUP($CE53,参照データ!$D$65:$M$82,10,0),IF($AB53="選手権",VLOOKUP($DH53,参照データ!$D$88:$O$117,11,0),""))</f>
        <v/>
      </c>
      <c r="AD53" s="388"/>
      <c r="AE53" s="346" t="str">
        <f>IF($AD53="○",VLOOKUP($CE53,参照データ!$D$65:$M$82,10,0),IF($AD53="選手権",VLOOKUP($DH53,参照データ!$D$88:$O$117,11,0),""))</f>
        <v/>
      </c>
      <c r="AF53" s="388"/>
      <c r="AG53" s="346" t="str">
        <f>IF($AF53="○",VLOOKUP($CE53,参照データ!$D$65:$M$82,10,0),IF($AF53="選手権",VLOOKUP($DO53,参照データ!$D$88:$O$117,12,0),""))</f>
        <v/>
      </c>
      <c r="AH53" s="388"/>
      <c r="AI53" s="346" t="str">
        <f>IF($AH53="○",VLOOKUP($CE53,参照データ!$D$65:$M$82,10,0),IF($AH53="選手権",VLOOKUP($DO53,参照データ!$D$88:$O$117,12,0),""))</f>
        <v/>
      </c>
      <c r="AJ53" s="388"/>
      <c r="AK53" s="511"/>
      <c r="AL53" s="346" t="str">
        <f t="shared" si="80"/>
        <v/>
      </c>
      <c r="AM53" s="392"/>
      <c r="AN53" s="391"/>
      <c r="AO53" s="391"/>
      <c r="AP53" s="447"/>
      <c r="AQ53" s="321"/>
      <c r="AR53" s="481"/>
      <c r="AS53" s="393"/>
      <c r="AT53" s="483"/>
      <c r="AU53" s="393"/>
      <c r="AV53" s="529"/>
      <c r="AW53" s="483"/>
      <c r="AZ53">
        <f t="shared" si="50"/>
        <v>0</v>
      </c>
      <c r="BA53" t="str">
        <f t="shared" si="35"/>
        <v/>
      </c>
      <c r="BB53" s="132"/>
      <c r="BD53" s="513" t="str">
        <f t="shared" si="81"/>
        <v/>
      </c>
      <c r="BE53" s="53" t="str">
        <f>IF($AZ53=0,"",IF(AND($I53&gt;=6,$I53&lt;=19),VLOOKUP($I53,参照データ!$B$24:$C$37,2,0),IF($I53&lt;6,6,19)))</f>
        <v/>
      </c>
      <c r="BF53" s="155" t="str">
        <f>IF($J53="○",VLOOKUP($BE53,参照データ!$C$24:$I$37,2,0),"")</f>
        <v/>
      </c>
      <c r="BG53" s="146" t="str">
        <f>IF($K53="○",VLOOKUP($BE53,参照データ!$C$24:$I$37,3,0),"")</f>
        <v/>
      </c>
      <c r="BH53" s="146" t="str">
        <f>IF($L53="○",VLOOKUP($BE53,参照データ!$C$24:$I$37,4,0),"")</f>
        <v/>
      </c>
      <c r="BI53" s="146" t="str">
        <f>IF($M53="○",VLOOKUP($BE53,参照データ!$C$24:$I$37,5,0),"")</f>
        <v/>
      </c>
      <c r="BJ53" s="146" t="str">
        <f>IF($N53="20日",VLOOKUP($BE53,参照データ!$C$24:$I$37,6,0),"")</f>
        <v/>
      </c>
      <c r="BK53" s="156" t="str">
        <f>IF($O53="20日",VLOOKUP($BE53,参照データ!$C$24:$I$37,7,0),"")</f>
        <v/>
      </c>
      <c r="BL53" s="155" t="str">
        <f>IF($J53="21日",VLOOKUP($BE53,参照データ!$C$24:$I$37,2,0),"")</f>
        <v/>
      </c>
      <c r="BM53" s="146" t="str">
        <f>IF($K53="21日",VLOOKUP($BE53,参照データ!$C$24:$I$37,3,0),"")</f>
        <v/>
      </c>
      <c r="BN53" s="146" t="str">
        <f>IF($L53="21日",VLOOKUP($BE53,参照データ!$C$24:$I$37,4,0),"")</f>
        <v/>
      </c>
      <c r="BO53" s="146" t="str">
        <f>IF($M53="21日",VLOOKUP($BE53,参照データ!$C$24:$I$37,5,0),"")</f>
        <v/>
      </c>
      <c r="BP53" s="146" t="str">
        <f>IF($N53="21日",VLOOKUP($BE53,参照データ!$C$24:$I$37,6,0),"")</f>
        <v/>
      </c>
      <c r="BQ53" s="156" t="str">
        <f>IF($O53="21日",VLOOKUP($BE53,参照データ!$C$24:$I$37,7,0),"")</f>
        <v/>
      </c>
      <c r="BR53" s="223" t="str">
        <f t="shared" si="42"/>
        <v/>
      </c>
      <c r="BS53" s="154" t="str">
        <f>IF($R53="入門",VLOOKUP($BE53,参照データ!$C$43:$U$56,2,0),IF($R53="初級",VLOOKUP($BE53,参照データ!$C$43:$U$56,3,0),IF($R53="中級",VLOOKUP($BE53,参照データ!$C$43:$U$56,4,0),IF($R53="上級",VLOOKUP($BE53,参照データ!$C$43:$U$56,5,0),""))))</f>
        <v/>
      </c>
      <c r="BT53" s="154" t="str">
        <f>IF($S53="初級",VLOOKUP($BE53,参照データ!$C$43:$U$56,6,0),IF($S53="中級",VLOOKUP($BE53,参照データ!$C$43:$U$56,7,0),IF($S53="上級",VLOOKUP($BE53,参照データ!$C$43:$U$56,8,0),"")))</f>
        <v/>
      </c>
      <c r="BU53" s="154" t="str">
        <f>IF($T53="初級",VLOOKUP($BE53,参照データ!$C$43:$U$56,9,0),IF($T53="上級",VLOOKUP($BE53,参照データ!$C$43:$U$56,10,0),""))</f>
        <v/>
      </c>
      <c r="BV53" s="154" t="str">
        <f>IF($U53="初級",VLOOKUP($BE53,参照データ!$C$43:$U$56,11,0),IF($U53="中級",VLOOKUP($BE53,参照データ!$C$43:$U$56,12,0),IF($U53="上級",VLOOKUP($BE53,参照データ!$C$43:$U$56,13,0),"")))</f>
        <v/>
      </c>
      <c r="BW53" s="154" t="str">
        <f>IF($V53="初級",VLOOKUP($BE53,参照データ!$C$43:$U$56,14,0),IF($V53="中級",VLOOKUP($BE53,参照データ!$C$43:$U$56,15,0),IF($V53="上級",VLOOKUP($BE53,参照データ!$C$43:$U$56,16,0),"")))</f>
        <v/>
      </c>
      <c r="BX53" s="47" t="str">
        <f t="shared" si="5"/>
        <v/>
      </c>
      <c r="BY53" s="47" t="str">
        <f>IF($W53="初級",VLOOKUP($BE53,参照データ!$C$43:$U$56,17,0),IF($W53="中級",VLOOKUP($BE53,参照データ!$C$43:$U$56,18,0),IF($W53="上級",VLOOKUP($BE53,参照データ!$C$43:$U$56,19,0),"")))</f>
        <v/>
      </c>
      <c r="BZ53" s="687"/>
      <c r="CA53" s="65" t="s">
        <v>265</v>
      </c>
      <c r="CB53" s="135" t="str">
        <f t="shared" si="13"/>
        <v/>
      </c>
      <c r="CC53" s="689"/>
      <c r="CE53" s="53" t="str">
        <f>IF(AND($AZ53&gt;=参照データ!$C$67,$AZ53&lt;=参照データ!$C$65),1,IF(AND($AZ53&gt;=参照データ!$C$70,$AZ53&lt;=参照データ!$C$68),2,IF(AND($AZ53&gt;=参照データ!$C$73,$AZ53&lt;=参照データ!$C$71),3,IF(AND($AZ53&gt;=参照データ!$C$76,$AZ53&lt;=参照データ!$C$74),4,IF(AND($AZ53&gt;=参照データ!$C$79,$AZ53&lt;=参照データ!$C$77),5,IF(AND($AZ53&gt;0,$AZ53&lt;=参照データ!$C$80),6,""))))))</f>
        <v/>
      </c>
      <c r="CF53" s="141" t="str">
        <f>IF($Z53="○",(VLOOKUP($CE53,参照データ!$D$65:$J$82,2,0)),"")</f>
        <v/>
      </c>
      <c r="CG53" s="71" t="str">
        <f t="shared" si="14"/>
        <v/>
      </c>
      <c r="CH53" s="70" t="str">
        <f>IF($AB53="○",(VLOOKUP($CE53,参照データ!$D$65:$J$82,3,0)),"")</f>
        <v/>
      </c>
      <c r="CI53" s="71" t="str">
        <f t="shared" si="15"/>
        <v/>
      </c>
      <c r="CJ53" s="70" t="str">
        <f>IF($AD53="○",(VLOOKUP($CE53,参照データ!$D$65:$J$82,4,0)),"")</f>
        <v/>
      </c>
      <c r="CK53" s="71" t="str">
        <f t="shared" si="16"/>
        <v/>
      </c>
      <c r="CL53" s="70" t="str">
        <f>IF($AF53="○",(VLOOKUP($CE53,参照データ!$D$65:$J$82,5,0)),"")</f>
        <v/>
      </c>
      <c r="CM53" s="71" t="str">
        <f t="shared" si="6"/>
        <v/>
      </c>
      <c r="CN53" s="70" t="str">
        <f>IF($AH53="○",(VLOOKUP($CE53,参照データ!$D$65:$J$82,6,0)),"")</f>
        <v/>
      </c>
      <c r="CO53" s="71" t="str">
        <f t="shared" si="17"/>
        <v/>
      </c>
      <c r="CP53" s="33" t="str">
        <f t="shared" si="18"/>
        <v/>
      </c>
      <c r="CQ53" s="32" t="str">
        <f t="shared" si="19"/>
        <v/>
      </c>
      <c r="CR53" s="71" t="str">
        <f t="shared" si="20"/>
        <v/>
      </c>
      <c r="CS53" s="682"/>
      <c r="CT53" s="77" t="s">
        <v>126</v>
      </c>
      <c r="CU53" s="78" t="str">
        <f t="shared" si="21"/>
        <v/>
      </c>
      <c r="CV53" s="684"/>
      <c r="CW53" s="308" t="str">
        <f t="shared" ref="CW53" si="96">$CW52</f>
        <v/>
      </c>
      <c r="CX53" s="70"/>
      <c r="CY53" s="172" t="str">
        <f t="shared" si="22"/>
        <v/>
      </c>
      <c r="DA53" s="32"/>
      <c r="DB53" s="161" t="str">
        <f t="shared" si="23"/>
        <v/>
      </c>
      <c r="DC53" s="744"/>
      <c r="DD53" s="164" t="s">
        <v>126</v>
      </c>
      <c r="DE53" s="165" t="str">
        <f t="shared" si="44"/>
        <v/>
      </c>
      <c r="DF53" s="742"/>
      <c r="DG53" t="str">
        <f>IF($DH53="","",DATEDIF($AZ53,参照データ!$D$19,"Y"))</f>
        <v/>
      </c>
      <c r="DH53" s="253" t="str">
        <f>IFERROR(IF($BA53="男子",VLOOKUP($DO53,参照データ!$D$88:$E$117,2,0),$DO53),0)</f>
        <v/>
      </c>
      <c r="DI53" s="84" t="str">
        <f>IF($Z53="選手権",(VLOOKUP($DH53,参照データ!$D$88:$K$117,3,0)),"")</f>
        <v/>
      </c>
      <c r="DJ53" s="85" t="str">
        <f t="shared" si="83"/>
        <v/>
      </c>
      <c r="DK53" s="84" t="str">
        <f>IF($AB53="選手権",(VLOOKUP($DH53,参照データ!$D$88:$K$117,4,0)),"")</f>
        <v/>
      </c>
      <c r="DL53" s="85" t="str">
        <f t="shared" si="84"/>
        <v/>
      </c>
      <c r="DM53" s="84" t="str">
        <f>IF($AD53="選手権",(VLOOKUP($DH53,参照データ!$D$88:$K$117,5,0)),"")</f>
        <v/>
      </c>
      <c r="DN53" s="85" t="str">
        <f t="shared" si="85"/>
        <v/>
      </c>
      <c r="DO53" s="53" t="str">
        <f>IF(AND($AZ53&gt;=参照データ!$C$90,$AZ53&lt;=参照データ!$C$88),1,IF(AND($AZ53&gt;=参照データ!$C$93,$AZ53&lt;=参照データ!$C$91),2,IF(AND($AZ53&gt;=参照データ!$C$99,$AZ53&lt;=参照データ!$C$97),3,IF(AND($AZ53&gt;=参照データ!$C$105,$AZ53&lt;=参照データ!$C$103),4,IF(AND($AZ53&gt;=参照データ!$C$111,$AZ53&lt;=参照データ!$C$109),5,IF(AND($AZ53&gt;0,$AZ53&lt;=参照データ!$C$112),6,""))))))</f>
        <v/>
      </c>
      <c r="DP53" s="84" t="str">
        <f>IF($AF53="選手権",(VLOOKUP($DO53,参照データ!$D$88:$K$117,6,0)),"")</f>
        <v/>
      </c>
      <c r="DQ53" s="85" t="str">
        <f t="shared" si="10"/>
        <v/>
      </c>
      <c r="DR53" s="84" t="str">
        <f>IF($AH53="選手権",(VLOOKUP($DO53,参照データ!$D$88:$K$117,7,0)),"")</f>
        <v/>
      </c>
      <c r="DS53" s="85" t="str">
        <f t="shared" si="24"/>
        <v/>
      </c>
      <c r="DT53" s="33" t="str">
        <f t="shared" si="25"/>
        <v/>
      </c>
      <c r="DU53" s="32" t="str">
        <f t="shared" si="26"/>
        <v/>
      </c>
      <c r="DV53" s="85" t="str">
        <f t="shared" si="27"/>
        <v/>
      </c>
      <c r="DW53" s="733"/>
      <c r="DX53" s="91" t="s">
        <v>126</v>
      </c>
      <c r="DY53" s="92" t="str">
        <f t="shared" si="37"/>
        <v/>
      </c>
      <c r="DZ53" s="735"/>
      <c r="EA53" s="312" t="str">
        <f t="shared" ref="EA53" si="97">$EA52</f>
        <v/>
      </c>
      <c r="EC53" s="491" t="str">
        <f t="shared" si="28"/>
        <v/>
      </c>
      <c r="EH53" s="35">
        <f>(COUNTIF($J53:$O53,"&lt;&gt;"))*参照データ!$E$3</f>
        <v>0</v>
      </c>
      <c r="EI53" s="219" t="str">
        <f>IF(P53="○",参照データ!$E$5,"")</f>
        <v/>
      </c>
      <c r="EJ53" s="219" t="str">
        <f>IF($Y53="○",参照データ!$E$4,"")</f>
        <v/>
      </c>
      <c r="EK53" s="18">
        <f>(SUM(COUNTIF($R53:$V53,{"入門","初級"}))*参照データ!$E$9)+(SUM(COUNTIF($R53:$V53,{"中級","上級"})*参照データ!$E$10))</f>
        <v>0</v>
      </c>
      <c r="EL53" s="18">
        <f>IFERROR(VLOOKUP($W53,参照データ!$D$9:$J$11,7,0),0)</f>
        <v>0</v>
      </c>
      <c r="EM53" s="18">
        <f>((COUNTIF($Z53:$AH53,"○"))*参照データ!$E$12)</f>
        <v>0</v>
      </c>
      <c r="EN53" s="18" t="str">
        <f>(IF($AJ53="○",参照データ!$J$12,""))</f>
        <v/>
      </c>
      <c r="EQ53" s="18">
        <f>((COUNTIF($Z53:$AH53,"選手権"))*参照データ!$E$13)</f>
        <v>0</v>
      </c>
      <c r="ER53" s="18" t="str">
        <f>(IF($AJ53="選手権",参照データ!$J$13,""))</f>
        <v/>
      </c>
      <c r="ES53" s="18">
        <f>(COUNTIF($AQ53:$AR53,"&lt;&gt;"))*参照データ!$H$3</f>
        <v>0</v>
      </c>
      <c r="ET53" s="18"/>
      <c r="EU53" s="18" t="str">
        <f>IF(AV53&lt;&gt;"",参照データ!$H$15,"")</f>
        <v/>
      </c>
      <c r="EV53" s="98" cm="1">
        <f t="array" ref="EV53">SUM(IF(ISERROR(EH53:EU53),0,(EH53:EU53)))</f>
        <v>0</v>
      </c>
      <c r="EW53" s="18"/>
      <c r="EX53" s="18">
        <f t="shared" si="86"/>
        <v>0</v>
      </c>
      <c r="EY53" s="18">
        <f t="shared" si="29"/>
        <v>0</v>
      </c>
      <c r="EZ53" s="18">
        <f t="shared" si="38"/>
        <v>0</v>
      </c>
      <c r="FA53" s="18">
        <f t="shared" si="30"/>
        <v>0</v>
      </c>
      <c r="FB53" s="18">
        <f t="shared" si="31"/>
        <v>0</v>
      </c>
      <c r="FC53" s="18">
        <f t="shared" si="32"/>
        <v>0</v>
      </c>
      <c r="FD53" s="18">
        <f t="shared" si="12"/>
        <v>0</v>
      </c>
      <c r="FE53" t="str">
        <f t="shared" si="33"/>
        <v/>
      </c>
    </row>
    <row r="54" spans="1:161" ht="18.75" customHeight="1" x14ac:dyDescent="0.2">
      <c r="A54">
        <v>43</v>
      </c>
      <c r="B54" s="14" t="str">
        <f>IF(D54="","",IF(D54="重複","",COUNTIF(B$12:$B53,"&gt;0")+1))</f>
        <v/>
      </c>
      <c r="C54" s="464"/>
      <c r="D54" s="177"/>
      <c r="E54" s="177"/>
      <c r="F54" s="31"/>
      <c r="G54" s="41"/>
      <c r="H54" s="351">
        <f t="shared" si="34"/>
        <v>0</v>
      </c>
      <c r="I54" s="193" t="str">
        <f>IF($AZ54=0,"",DATEDIF($AZ54,参照データ!$D$16,"Y"))</f>
        <v/>
      </c>
      <c r="J54" s="36"/>
      <c r="K54" s="36"/>
      <c r="L54" s="36"/>
      <c r="M54" s="36"/>
      <c r="N54" s="36"/>
      <c r="O54" s="42"/>
      <c r="P54" s="345"/>
      <c r="Q54" s="345"/>
      <c r="R54" s="43"/>
      <c r="S54" s="244"/>
      <c r="T54" s="244"/>
      <c r="U54" s="244"/>
      <c r="V54" s="245"/>
      <c r="W54" s="248"/>
      <c r="X54" s="250"/>
      <c r="Y54" s="345"/>
      <c r="Z54" s="388"/>
      <c r="AA54" s="346" t="str">
        <f>IF($Z54="○",VLOOKUP($CE54,参照データ!$D$65:$M$82,9,0),IF($Z54="選手権",VLOOKUP($DH54,参照データ!$D$88:$O$117,10,0),""))</f>
        <v/>
      </c>
      <c r="AB54" s="388"/>
      <c r="AC54" s="346" t="str">
        <f>IF($AB54="○",VLOOKUP($CE54,参照データ!$D$65:$M$82,10,0),IF($AB54="選手権",VLOOKUP($DH54,参照データ!$D$88:$O$117,11,0),""))</f>
        <v/>
      </c>
      <c r="AD54" s="388"/>
      <c r="AE54" s="346" t="str">
        <f>IF($AD54="○",VLOOKUP($CE54,参照データ!$D$65:$M$82,10,0),IF($AD54="選手権",VLOOKUP($DH54,参照データ!$D$88:$O$117,11,0),""))</f>
        <v/>
      </c>
      <c r="AF54" s="388"/>
      <c r="AG54" s="346" t="str">
        <f>IF($AF54="○",VLOOKUP($CE54,参照データ!$D$65:$M$82,10,0),IF($AF54="選手権",VLOOKUP($DO54,参照データ!$D$88:$O$117,12,0),""))</f>
        <v/>
      </c>
      <c r="AH54" s="388"/>
      <c r="AI54" s="346" t="str">
        <f>IF($AH54="○",VLOOKUP($CE54,参照データ!$D$65:$M$82,10,0),IF($AH54="選手権",VLOOKUP($DO54,参照データ!$D$88:$O$117,12,0),""))</f>
        <v/>
      </c>
      <c r="AJ54" s="388"/>
      <c r="AK54" s="511"/>
      <c r="AL54" s="346" t="str">
        <f t="shared" si="80"/>
        <v/>
      </c>
      <c r="AM54" s="392"/>
      <c r="AN54" s="391"/>
      <c r="AO54" s="391"/>
      <c r="AP54" s="447"/>
      <c r="AQ54" s="321"/>
      <c r="AR54" s="481"/>
      <c r="AS54" s="393"/>
      <c r="AT54" s="483"/>
      <c r="AU54" s="393"/>
      <c r="AV54" s="529"/>
      <c r="AW54" s="483"/>
      <c r="AZ54">
        <f t="shared" si="50"/>
        <v>0</v>
      </c>
      <c r="BA54" t="str">
        <f t="shared" si="35"/>
        <v/>
      </c>
      <c r="BB54" s="132"/>
      <c r="BD54" s="513" t="str">
        <f t="shared" si="81"/>
        <v/>
      </c>
      <c r="BE54" s="53" t="str">
        <f>IF($AZ54=0,"",IF(AND($I54&gt;=6,$I54&lt;=19),VLOOKUP($I54,参照データ!$B$24:$C$37,2,0),IF($I54&lt;6,6,19)))</f>
        <v/>
      </c>
      <c r="BF54" s="155" t="str">
        <f>IF($J54="○",VLOOKUP($BE54,参照データ!$C$24:$I$37,2,0),"")</f>
        <v/>
      </c>
      <c r="BG54" s="146" t="str">
        <f>IF($K54="○",VLOOKUP($BE54,参照データ!$C$24:$I$37,3,0),"")</f>
        <v/>
      </c>
      <c r="BH54" s="146" t="str">
        <f>IF($L54="○",VLOOKUP($BE54,参照データ!$C$24:$I$37,4,0),"")</f>
        <v/>
      </c>
      <c r="BI54" s="146" t="str">
        <f>IF($M54="○",VLOOKUP($BE54,参照データ!$C$24:$I$37,5,0),"")</f>
        <v/>
      </c>
      <c r="BJ54" s="146" t="str">
        <f>IF($N54="20日",VLOOKUP($BE54,参照データ!$C$24:$I$37,6,0),"")</f>
        <v/>
      </c>
      <c r="BK54" s="156" t="str">
        <f>IF($O54="20日",VLOOKUP($BE54,参照データ!$C$24:$I$37,7,0),"")</f>
        <v/>
      </c>
      <c r="BL54" s="155" t="str">
        <f>IF($J54="21日",VLOOKUP($BE54,参照データ!$C$24:$I$37,2,0),"")</f>
        <v/>
      </c>
      <c r="BM54" s="146" t="str">
        <f>IF($K54="21日",VLOOKUP($BE54,参照データ!$C$24:$I$37,3,0),"")</f>
        <v/>
      </c>
      <c r="BN54" s="146" t="str">
        <f>IF($L54="21日",VLOOKUP($BE54,参照データ!$C$24:$I$37,4,0),"")</f>
        <v/>
      </c>
      <c r="BO54" s="146" t="str">
        <f>IF($M54="21日",VLOOKUP($BE54,参照データ!$C$24:$I$37,5,0),"")</f>
        <v/>
      </c>
      <c r="BP54" s="146" t="str">
        <f>IF($N54="21日",VLOOKUP($BE54,参照データ!$C$24:$I$37,6,0),"")</f>
        <v/>
      </c>
      <c r="BQ54" s="156" t="str">
        <f>IF($O54="21日",VLOOKUP($BE54,参照データ!$C$24:$I$37,7,0),"")</f>
        <v/>
      </c>
      <c r="BR54" s="223" t="str">
        <f t="shared" si="42"/>
        <v/>
      </c>
      <c r="BS54" s="154" t="str">
        <f>IF($R54="入門",VLOOKUP($BE54,参照データ!$C$43:$U$56,2,0),IF($R54="初級",VLOOKUP($BE54,参照データ!$C$43:$U$56,3,0),IF($R54="中級",VLOOKUP($BE54,参照データ!$C$43:$U$56,4,0),IF($R54="上級",VLOOKUP($BE54,参照データ!$C$43:$U$56,5,0),""))))</f>
        <v/>
      </c>
      <c r="BT54" s="154" t="str">
        <f>IF($S54="初級",VLOOKUP($BE54,参照データ!$C$43:$U$56,6,0),IF($S54="中級",VLOOKUP($BE54,参照データ!$C$43:$U$56,7,0),IF($S54="上級",VLOOKUP($BE54,参照データ!$C$43:$U$56,8,0),"")))</f>
        <v/>
      </c>
      <c r="BU54" s="154" t="str">
        <f>IF($T54="初級",VLOOKUP($BE54,参照データ!$C$43:$U$56,9,0),IF($T54="上級",VLOOKUP($BE54,参照データ!$C$43:$U$56,10,0),""))</f>
        <v/>
      </c>
      <c r="BV54" s="154" t="str">
        <f>IF($U54="初級",VLOOKUP($BE54,参照データ!$C$43:$U$56,11,0),IF($U54="中級",VLOOKUP($BE54,参照データ!$C$43:$U$56,12,0),IF($U54="上級",VLOOKUP($BE54,参照データ!$C$43:$U$56,13,0),"")))</f>
        <v/>
      </c>
      <c r="BW54" s="154" t="str">
        <f>IF($V54="初級",VLOOKUP($BE54,参照データ!$C$43:$U$56,14,0),IF($V54="中級",VLOOKUP($BE54,参照データ!$C$43:$U$56,15,0),IF($V54="上級",VLOOKUP($BE54,参照データ!$C$43:$U$56,16,0),"")))</f>
        <v/>
      </c>
      <c r="BX54" s="47" t="str">
        <f t="shared" si="5"/>
        <v/>
      </c>
      <c r="BY54" s="47" t="str">
        <f>IF($W54="初級",VLOOKUP($BE54,参照データ!$C$43:$U$56,17,0),IF($W54="中級",VLOOKUP($BE54,参照データ!$C$43:$U$56,18,0),IF($W54="上級",VLOOKUP($BE54,参照データ!$C$43:$U$56,19,0),"")))</f>
        <v/>
      </c>
      <c r="BZ54" s="686">
        <v>22</v>
      </c>
      <c r="CA54" s="66" t="s">
        <v>266</v>
      </c>
      <c r="CB54" s="136" t="str">
        <f t="shared" si="13"/>
        <v/>
      </c>
      <c r="CC54" s="688" t="str">
        <f t="shared" ref="CC54" si="98">IF(OR($CB54="",$CB55=""),"",IF($CB54&gt;$CB55,$CB54,$CB55))</f>
        <v/>
      </c>
      <c r="CE54" s="53" t="str">
        <f>IF(AND($AZ54&gt;=参照データ!$C$67,$AZ54&lt;=参照データ!$C$65),1,IF(AND($AZ54&gt;=参照データ!$C$70,$AZ54&lt;=参照データ!$C$68),2,IF(AND($AZ54&gt;=参照データ!$C$73,$AZ54&lt;=参照データ!$C$71),3,IF(AND($AZ54&gt;=参照データ!$C$76,$AZ54&lt;=参照データ!$C$74),4,IF(AND($AZ54&gt;=参照データ!$C$79,$AZ54&lt;=参照データ!$C$77),5,IF(AND($AZ54&gt;0,$AZ54&lt;=参照データ!$C$80),6,""))))))</f>
        <v/>
      </c>
      <c r="CF54" s="141" t="str">
        <f>IF($Z54="○",(VLOOKUP($CE54,参照データ!$D$65:$J$82,2,0)),"")</f>
        <v/>
      </c>
      <c r="CG54" s="71" t="str">
        <f t="shared" si="14"/>
        <v/>
      </c>
      <c r="CH54" s="70" t="str">
        <f>IF($AB54="○",(VLOOKUP($CE54,参照データ!$D$65:$J$82,3,0)),"")</f>
        <v/>
      </c>
      <c r="CI54" s="71" t="str">
        <f t="shared" si="15"/>
        <v/>
      </c>
      <c r="CJ54" s="70" t="str">
        <f>IF($AD54="○",(VLOOKUP($CE54,参照データ!$D$65:$J$82,4,0)),"")</f>
        <v/>
      </c>
      <c r="CK54" s="71" t="str">
        <f t="shared" si="16"/>
        <v/>
      </c>
      <c r="CL54" s="70" t="str">
        <f>IF($AF54="○",(VLOOKUP($CE54,参照データ!$D$65:$J$82,5,0)),"")</f>
        <v/>
      </c>
      <c r="CM54" s="71" t="str">
        <f t="shared" si="6"/>
        <v/>
      </c>
      <c r="CN54" s="70" t="str">
        <f>IF($AH54="○",(VLOOKUP($CE54,参照データ!$D$65:$J$82,6,0)),"")</f>
        <v/>
      </c>
      <c r="CO54" s="71" t="str">
        <f t="shared" si="17"/>
        <v/>
      </c>
      <c r="CP54" s="33" t="str">
        <f t="shared" si="18"/>
        <v/>
      </c>
      <c r="CQ54" s="32" t="str">
        <f t="shared" si="19"/>
        <v/>
      </c>
      <c r="CR54" s="71" t="str">
        <f t="shared" si="20"/>
        <v/>
      </c>
      <c r="CS54" s="681">
        <v>22</v>
      </c>
      <c r="CT54" s="79" t="s">
        <v>127</v>
      </c>
      <c r="CU54" s="80" t="str">
        <f t="shared" si="21"/>
        <v/>
      </c>
      <c r="CV54" s="683" t="e">
        <f>IF($CU54&gt;$CU55,VLOOKUP($CU54,参照データ!$D$65:$J$82,7,0),VLOOKUP($CU55,参照データ!$D$65:$J$82,7,0))</f>
        <v>#N/A</v>
      </c>
      <c r="CW54" s="308" t="str">
        <f>IFERROR(VLOOKUP($CV54,参照データ!$J$65:$M$82,4,0),"")</f>
        <v/>
      </c>
      <c r="CX54" s="70"/>
      <c r="CY54" s="172" t="str">
        <f t="shared" si="22"/>
        <v/>
      </c>
      <c r="DA54" s="32"/>
      <c r="DB54" s="161" t="str">
        <f t="shared" si="23"/>
        <v/>
      </c>
      <c r="DC54" s="743">
        <v>22</v>
      </c>
      <c r="DD54" s="166" t="s">
        <v>127</v>
      </c>
      <c r="DE54" s="167" t="str">
        <f t="shared" si="44"/>
        <v/>
      </c>
      <c r="DF54" s="741" t="str">
        <f>IF(OR(DE54="",DE55=""),"",IF(DE54&gt;DE55,DE54,DE55))</f>
        <v/>
      </c>
      <c r="DG54" t="str">
        <f>IF($DH54="","",DATEDIF($AZ54,参照データ!$D$19,"Y"))</f>
        <v/>
      </c>
      <c r="DH54" s="253" t="str">
        <f>IFERROR(IF($BA54="男子",VLOOKUP($DO54,参照データ!$D$88:$E$117,2,0),$DO54),0)</f>
        <v/>
      </c>
      <c r="DI54" s="84" t="str">
        <f>IF($Z54="選手権",(VLOOKUP($DH54,参照データ!$D$88:$K$117,3,0)),"")</f>
        <v/>
      </c>
      <c r="DJ54" s="85" t="str">
        <f t="shared" si="83"/>
        <v/>
      </c>
      <c r="DK54" s="84" t="str">
        <f>IF($AB54="選手権",(VLOOKUP($DH54,参照データ!$D$88:$K$117,4,0)),"")</f>
        <v/>
      </c>
      <c r="DL54" s="85" t="str">
        <f t="shared" si="84"/>
        <v/>
      </c>
      <c r="DM54" s="84" t="str">
        <f>IF($AD54="選手権",(VLOOKUP($DH54,参照データ!$D$88:$K$117,5,0)),"")</f>
        <v/>
      </c>
      <c r="DN54" s="85" t="str">
        <f t="shared" si="85"/>
        <v/>
      </c>
      <c r="DO54" s="53" t="str">
        <f>IF(AND($AZ54&gt;=参照データ!$C$90,$AZ54&lt;=参照データ!$C$88),1,IF(AND($AZ54&gt;=参照データ!$C$93,$AZ54&lt;=参照データ!$C$91),2,IF(AND($AZ54&gt;=参照データ!$C$99,$AZ54&lt;=参照データ!$C$97),3,IF(AND($AZ54&gt;=参照データ!$C$105,$AZ54&lt;=参照データ!$C$103),4,IF(AND($AZ54&gt;=参照データ!$C$111,$AZ54&lt;=参照データ!$C$109),5,IF(AND($AZ54&gt;0,$AZ54&lt;=参照データ!$C$112),6,""))))))</f>
        <v/>
      </c>
      <c r="DP54" s="84" t="str">
        <f>IF($AF54="選手権",(VLOOKUP($DO54,参照データ!$D$88:$K$117,6,0)),"")</f>
        <v/>
      </c>
      <c r="DQ54" s="85" t="str">
        <f t="shared" si="10"/>
        <v/>
      </c>
      <c r="DR54" s="84" t="str">
        <f>IF($AH54="選手権",(VLOOKUP($DO54,参照データ!$D$88:$K$117,7,0)),"")</f>
        <v/>
      </c>
      <c r="DS54" s="85" t="str">
        <f t="shared" si="24"/>
        <v/>
      </c>
      <c r="DT54" s="33" t="str">
        <f t="shared" si="25"/>
        <v/>
      </c>
      <c r="DU54" s="32" t="str">
        <f t="shared" si="26"/>
        <v/>
      </c>
      <c r="DV54" s="85" t="str">
        <f t="shared" si="27"/>
        <v/>
      </c>
      <c r="DW54" s="736">
        <v>22</v>
      </c>
      <c r="DX54" s="93" t="s">
        <v>127</v>
      </c>
      <c r="DY54" s="94" t="str">
        <f t="shared" si="37"/>
        <v/>
      </c>
      <c r="DZ54" s="737" t="e">
        <f>IF($DY54&gt;$DY55,VLOOKUP($DY54,参照データ!$D$88:$K$117,8,0),VLOOKUP($DY55,参照データ!$D$88:$K$117,8,0))</f>
        <v>#N/A</v>
      </c>
      <c r="EA54" s="312" t="str">
        <f>IFERROR(VLOOKUP($DZ54,参照データ!$K$88:$O$117,5,0),"")</f>
        <v/>
      </c>
      <c r="EC54" s="491" t="str">
        <f t="shared" si="28"/>
        <v/>
      </c>
      <c r="EH54" s="35">
        <f>(COUNTIF($J54:$O54,"&lt;&gt;"))*参照データ!$E$3</f>
        <v>0</v>
      </c>
      <c r="EI54" s="219" t="str">
        <f>IF(P54="○",参照データ!$E$5,"")</f>
        <v/>
      </c>
      <c r="EJ54" s="219" t="str">
        <f>IF($Y54="○",参照データ!$E$4,"")</f>
        <v/>
      </c>
      <c r="EK54" s="18">
        <f>(SUM(COUNTIF($R54:$V54,{"入門","初級"}))*参照データ!$E$9)+(SUM(COUNTIF($R54:$V54,{"中級","上級"})*参照データ!$E$10))</f>
        <v>0</v>
      </c>
      <c r="EL54" s="18">
        <f>IFERROR(VLOOKUP($W54,参照データ!$D$9:$J$11,7,0),0)</f>
        <v>0</v>
      </c>
      <c r="EM54" s="18">
        <f>((COUNTIF($Z54:$AH54,"○"))*参照データ!$E$12)</f>
        <v>0</v>
      </c>
      <c r="EN54" s="18" t="str">
        <f>(IF($AJ54="○",参照データ!$J$12,""))</f>
        <v/>
      </c>
      <c r="EQ54" s="18">
        <f>((COUNTIF($Z54:$AH54,"選手権"))*参照データ!$E$13)</f>
        <v>0</v>
      </c>
      <c r="ER54" s="18" t="str">
        <f>(IF($AJ54="選手権",参照データ!$J$13,""))</f>
        <v/>
      </c>
      <c r="ES54" s="18">
        <f>(COUNTIF($AQ54:$AR54,"&lt;&gt;"))*参照データ!$H$3</f>
        <v>0</v>
      </c>
      <c r="ET54" s="18"/>
      <c r="EU54" s="18" t="str">
        <f>IF(AV54&lt;&gt;"",参照データ!$H$15,"")</f>
        <v/>
      </c>
      <c r="EV54" s="98" cm="1">
        <f t="array" ref="EV54">SUM(IF(ISERROR(EH54:EU54),0,(EH54:EU54)))</f>
        <v>0</v>
      </c>
      <c r="EW54" s="18"/>
      <c r="EX54" s="18">
        <f t="shared" si="86"/>
        <v>0</v>
      </c>
      <c r="EY54" s="18">
        <f t="shared" si="29"/>
        <v>0</v>
      </c>
      <c r="EZ54" s="18">
        <f t="shared" si="38"/>
        <v>0</v>
      </c>
      <c r="FA54" s="18">
        <f t="shared" si="30"/>
        <v>0</v>
      </c>
      <c r="FB54" s="18">
        <f t="shared" si="31"/>
        <v>0</v>
      </c>
      <c r="FC54" s="18">
        <f t="shared" si="32"/>
        <v>0</v>
      </c>
      <c r="FD54" s="18">
        <f t="shared" si="12"/>
        <v>0</v>
      </c>
      <c r="FE54" t="str">
        <f t="shared" si="33"/>
        <v/>
      </c>
    </row>
    <row r="55" spans="1:161" ht="18.75" customHeight="1" x14ac:dyDescent="0.2">
      <c r="A55">
        <v>44</v>
      </c>
      <c r="B55" s="14" t="str">
        <f>IF(D55="","",IF(D55="重複","",COUNTIF(B$12:$B54,"&gt;0")+1))</f>
        <v/>
      </c>
      <c r="C55" s="464"/>
      <c r="D55" s="177"/>
      <c r="E55" s="177"/>
      <c r="F55" s="31"/>
      <c r="G55" s="41"/>
      <c r="H55" s="351">
        <f t="shared" si="34"/>
        <v>0</v>
      </c>
      <c r="I55" s="193" t="str">
        <f>IF($AZ55=0,"",DATEDIF($AZ55,参照データ!$D$16,"Y"))</f>
        <v/>
      </c>
      <c r="J55" s="36"/>
      <c r="K55" s="36"/>
      <c r="L55" s="36"/>
      <c r="M55" s="36"/>
      <c r="N55" s="36"/>
      <c r="O55" s="42"/>
      <c r="P55" s="345"/>
      <c r="Q55" s="345"/>
      <c r="R55" s="43"/>
      <c r="S55" s="244"/>
      <c r="T55" s="244"/>
      <c r="U55" s="244"/>
      <c r="V55" s="245"/>
      <c r="W55" s="248"/>
      <c r="X55" s="250"/>
      <c r="Y55" s="345"/>
      <c r="Z55" s="388"/>
      <c r="AA55" s="346" t="str">
        <f>IF($Z55="○",VLOOKUP($CE55,参照データ!$D$65:$M$82,9,0),IF($Z55="選手権",VLOOKUP($DH55,参照データ!$D$88:$O$117,10,0),""))</f>
        <v/>
      </c>
      <c r="AB55" s="388"/>
      <c r="AC55" s="346" t="str">
        <f>IF($AB55="○",VLOOKUP($CE55,参照データ!$D$65:$M$82,10,0),IF($AB55="選手権",VLOOKUP($DH55,参照データ!$D$88:$O$117,11,0),""))</f>
        <v/>
      </c>
      <c r="AD55" s="388"/>
      <c r="AE55" s="346" t="str">
        <f>IF($AD55="○",VLOOKUP($CE55,参照データ!$D$65:$M$82,10,0),IF($AD55="選手権",VLOOKUP($DH55,参照データ!$D$88:$O$117,11,0),""))</f>
        <v/>
      </c>
      <c r="AF55" s="388"/>
      <c r="AG55" s="346" t="str">
        <f>IF($AF55="○",VLOOKUP($CE55,参照データ!$D$65:$M$82,10,0),IF($AF55="選手権",VLOOKUP($DO55,参照データ!$D$88:$O$117,12,0),""))</f>
        <v/>
      </c>
      <c r="AH55" s="388"/>
      <c r="AI55" s="346" t="str">
        <f>IF($AH55="○",VLOOKUP($CE55,参照データ!$D$65:$M$82,10,0),IF($AH55="選手権",VLOOKUP($DO55,参照データ!$D$88:$O$117,12,0),""))</f>
        <v/>
      </c>
      <c r="AJ55" s="388"/>
      <c r="AK55" s="511"/>
      <c r="AL55" s="346" t="str">
        <f t="shared" si="80"/>
        <v/>
      </c>
      <c r="AM55" s="392"/>
      <c r="AN55" s="391"/>
      <c r="AO55" s="391"/>
      <c r="AP55" s="447"/>
      <c r="AQ55" s="321"/>
      <c r="AR55" s="481"/>
      <c r="AS55" s="393"/>
      <c r="AT55" s="483"/>
      <c r="AU55" s="393"/>
      <c r="AV55" s="529"/>
      <c r="AW55" s="483"/>
      <c r="AZ55">
        <f t="shared" si="50"/>
        <v>0</v>
      </c>
      <c r="BA55" t="str">
        <f t="shared" si="35"/>
        <v/>
      </c>
      <c r="BB55" s="132"/>
      <c r="BD55" s="513" t="str">
        <f t="shared" si="81"/>
        <v/>
      </c>
      <c r="BE55" s="53" t="str">
        <f>IF($AZ55=0,"",IF(AND($I55&gt;=6,$I55&lt;=19),VLOOKUP($I55,参照データ!$B$24:$C$37,2,0),IF($I55&lt;6,6,19)))</f>
        <v/>
      </c>
      <c r="BF55" s="155" t="str">
        <f>IF($J55="○",VLOOKUP($BE55,参照データ!$C$24:$I$37,2,0),"")</f>
        <v/>
      </c>
      <c r="BG55" s="146" t="str">
        <f>IF($K55="○",VLOOKUP($BE55,参照データ!$C$24:$I$37,3,0),"")</f>
        <v/>
      </c>
      <c r="BH55" s="146" t="str">
        <f>IF($L55="○",VLOOKUP($BE55,参照データ!$C$24:$I$37,4,0),"")</f>
        <v/>
      </c>
      <c r="BI55" s="146" t="str">
        <f>IF($M55="○",VLOOKUP($BE55,参照データ!$C$24:$I$37,5,0),"")</f>
        <v/>
      </c>
      <c r="BJ55" s="146" t="str">
        <f>IF($N55="20日",VLOOKUP($BE55,参照データ!$C$24:$I$37,6,0),"")</f>
        <v/>
      </c>
      <c r="BK55" s="156" t="str">
        <f>IF($O55="20日",VLOOKUP($BE55,参照データ!$C$24:$I$37,7,0),"")</f>
        <v/>
      </c>
      <c r="BL55" s="155" t="str">
        <f>IF($J55="21日",VLOOKUP($BE55,参照データ!$C$24:$I$37,2,0),"")</f>
        <v/>
      </c>
      <c r="BM55" s="146" t="str">
        <f>IF($K55="21日",VLOOKUP($BE55,参照データ!$C$24:$I$37,3,0),"")</f>
        <v/>
      </c>
      <c r="BN55" s="146" t="str">
        <f>IF($L55="21日",VLOOKUP($BE55,参照データ!$C$24:$I$37,4,0),"")</f>
        <v/>
      </c>
      <c r="BO55" s="146" t="str">
        <f>IF($M55="21日",VLOOKUP($BE55,参照データ!$C$24:$I$37,5,0),"")</f>
        <v/>
      </c>
      <c r="BP55" s="146" t="str">
        <f>IF($N55="21日",VLOOKUP($BE55,参照データ!$C$24:$I$37,6,0),"")</f>
        <v/>
      </c>
      <c r="BQ55" s="156" t="str">
        <f>IF($O55="21日",VLOOKUP($BE55,参照データ!$C$24:$I$37,7,0),"")</f>
        <v/>
      </c>
      <c r="BR55" s="223" t="str">
        <f t="shared" si="42"/>
        <v/>
      </c>
      <c r="BS55" s="154" t="str">
        <f>IF($R55="入門",VLOOKUP($BE55,参照データ!$C$43:$U$56,2,0),IF($R55="初級",VLOOKUP($BE55,参照データ!$C$43:$U$56,3,0),IF($R55="中級",VLOOKUP($BE55,参照データ!$C$43:$U$56,4,0),IF($R55="上級",VLOOKUP($BE55,参照データ!$C$43:$U$56,5,0),""))))</f>
        <v/>
      </c>
      <c r="BT55" s="154" t="str">
        <f>IF($S55="初級",VLOOKUP($BE55,参照データ!$C$43:$U$56,6,0),IF($S55="中級",VLOOKUP($BE55,参照データ!$C$43:$U$56,7,0),IF($S55="上級",VLOOKUP($BE55,参照データ!$C$43:$U$56,8,0),"")))</f>
        <v/>
      </c>
      <c r="BU55" s="154" t="str">
        <f>IF($T55="初級",VLOOKUP($BE55,参照データ!$C$43:$U$56,9,0),IF($T55="上級",VLOOKUP($BE55,参照データ!$C$43:$U$56,10,0),""))</f>
        <v/>
      </c>
      <c r="BV55" s="154" t="str">
        <f>IF($U55="初級",VLOOKUP($BE55,参照データ!$C$43:$U$56,11,0),IF($U55="中級",VLOOKUP($BE55,参照データ!$C$43:$U$56,12,0),IF($U55="上級",VLOOKUP($BE55,参照データ!$C$43:$U$56,13,0),"")))</f>
        <v/>
      </c>
      <c r="BW55" s="154" t="str">
        <f>IF($V55="初級",VLOOKUP($BE55,参照データ!$C$43:$U$56,14,0),IF($V55="中級",VLOOKUP($BE55,参照データ!$C$43:$U$56,15,0),IF($V55="上級",VLOOKUP($BE55,参照データ!$C$43:$U$56,16,0),"")))</f>
        <v/>
      </c>
      <c r="BX55" s="47" t="str">
        <f t="shared" si="5"/>
        <v/>
      </c>
      <c r="BY55" s="47" t="str">
        <f>IF($W55="初級",VLOOKUP($BE55,参照データ!$C$43:$U$56,17,0),IF($W55="中級",VLOOKUP($BE55,参照データ!$C$43:$U$56,18,0),IF($W55="上級",VLOOKUP($BE55,参照データ!$C$43:$U$56,19,0),"")))</f>
        <v/>
      </c>
      <c r="BZ55" s="687"/>
      <c r="CA55" s="65" t="s">
        <v>267</v>
      </c>
      <c r="CB55" s="135" t="str">
        <f t="shared" si="13"/>
        <v/>
      </c>
      <c r="CC55" s="689"/>
      <c r="CE55" s="53" t="str">
        <f>IF(AND($AZ55&gt;=参照データ!$C$67,$AZ55&lt;=参照データ!$C$65),1,IF(AND($AZ55&gt;=参照データ!$C$70,$AZ55&lt;=参照データ!$C$68),2,IF(AND($AZ55&gt;=参照データ!$C$73,$AZ55&lt;=参照データ!$C$71),3,IF(AND($AZ55&gt;=参照データ!$C$76,$AZ55&lt;=参照データ!$C$74),4,IF(AND($AZ55&gt;=参照データ!$C$79,$AZ55&lt;=参照データ!$C$77),5,IF(AND($AZ55&gt;0,$AZ55&lt;=参照データ!$C$80),6,""))))))</f>
        <v/>
      </c>
      <c r="CF55" s="141" t="str">
        <f>IF($Z55="○",(VLOOKUP($CE55,参照データ!$D$65:$J$82,2,0)),"")</f>
        <v/>
      </c>
      <c r="CG55" s="71" t="str">
        <f t="shared" si="14"/>
        <v/>
      </c>
      <c r="CH55" s="70" t="str">
        <f>IF($AB55="○",(VLOOKUP($CE55,参照データ!$D$65:$J$82,3,0)),"")</f>
        <v/>
      </c>
      <c r="CI55" s="71" t="str">
        <f t="shared" si="15"/>
        <v/>
      </c>
      <c r="CJ55" s="70" t="str">
        <f>IF($AD55="○",(VLOOKUP($CE55,参照データ!$D$65:$J$82,4,0)),"")</f>
        <v/>
      </c>
      <c r="CK55" s="71" t="str">
        <f t="shared" si="16"/>
        <v/>
      </c>
      <c r="CL55" s="70" t="str">
        <f>IF($AF55="○",(VLOOKUP($CE55,参照データ!$D$65:$J$82,5,0)),"")</f>
        <v/>
      </c>
      <c r="CM55" s="71" t="str">
        <f t="shared" si="6"/>
        <v/>
      </c>
      <c r="CN55" s="70" t="str">
        <f>IF($AH55="○",(VLOOKUP($CE55,参照データ!$D$65:$J$82,6,0)),"")</f>
        <v/>
      </c>
      <c r="CO55" s="71" t="str">
        <f t="shared" si="17"/>
        <v/>
      </c>
      <c r="CP55" s="33" t="str">
        <f t="shared" si="18"/>
        <v/>
      </c>
      <c r="CQ55" s="32" t="str">
        <f t="shared" si="19"/>
        <v/>
      </c>
      <c r="CR55" s="71" t="str">
        <f t="shared" si="20"/>
        <v/>
      </c>
      <c r="CS55" s="682"/>
      <c r="CT55" s="77" t="s">
        <v>128</v>
      </c>
      <c r="CU55" s="78" t="str">
        <f t="shared" si="21"/>
        <v/>
      </c>
      <c r="CV55" s="684"/>
      <c r="CW55" s="308" t="str">
        <f t="shared" ref="CW55" si="99">$CW54</f>
        <v/>
      </c>
      <c r="CX55" s="70"/>
      <c r="CY55" s="172" t="str">
        <f t="shared" si="22"/>
        <v/>
      </c>
      <c r="DA55" s="32"/>
      <c r="DB55" s="161" t="str">
        <f t="shared" si="23"/>
        <v/>
      </c>
      <c r="DC55" s="744"/>
      <c r="DD55" s="164" t="s">
        <v>128</v>
      </c>
      <c r="DE55" s="165" t="str">
        <f t="shared" si="44"/>
        <v/>
      </c>
      <c r="DF55" s="742"/>
      <c r="DG55" t="str">
        <f>IF($DH55="","",DATEDIF($AZ55,参照データ!$D$19,"Y"))</f>
        <v/>
      </c>
      <c r="DH55" s="253" t="str">
        <f>IFERROR(IF($BA55="男子",VLOOKUP($DO55,参照データ!$D$88:$E$117,2,0),$DO55),0)</f>
        <v/>
      </c>
      <c r="DI55" s="84" t="str">
        <f>IF($Z55="選手権",(VLOOKUP($DH55,参照データ!$D$88:$K$117,3,0)),"")</f>
        <v/>
      </c>
      <c r="DJ55" s="85" t="str">
        <f t="shared" si="83"/>
        <v/>
      </c>
      <c r="DK55" s="84" t="str">
        <f>IF($AB55="選手権",(VLOOKUP($DH55,参照データ!$D$88:$K$117,4,0)),"")</f>
        <v/>
      </c>
      <c r="DL55" s="85" t="str">
        <f t="shared" si="84"/>
        <v/>
      </c>
      <c r="DM55" s="84" t="str">
        <f>IF($AD55="選手権",(VLOOKUP($DH55,参照データ!$D$88:$K$117,5,0)),"")</f>
        <v/>
      </c>
      <c r="DN55" s="85" t="str">
        <f t="shared" si="85"/>
        <v/>
      </c>
      <c r="DO55" s="53" t="str">
        <f>IF(AND($AZ55&gt;=参照データ!$C$90,$AZ55&lt;=参照データ!$C$88),1,IF(AND($AZ55&gt;=参照データ!$C$93,$AZ55&lt;=参照データ!$C$91),2,IF(AND($AZ55&gt;=参照データ!$C$99,$AZ55&lt;=参照データ!$C$97),3,IF(AND($AZ55&gt;=参照データ!$C$105,$AZ55&lt;=参照データ!$C$103),4,IF(AND($AZ55&gt;=参照データ!$C$111,$AZ55&lt;=参照データ!$C$109),5,IF(AND($AZ55&gt;0,$AZ55&lt;=参照データ!$C$112),6,""))))))</f>
        <v/>
      </c>
      <c r="DP55" s="84" t="str">
        <f>IF($AF55="選手権",(VLOOKUP($DO55,参照データ!$D$88:$K$117,6,0)),"")</f>
        <v/>
      </c>
      <c r="DQ55" s="85" t="str">
        <f t="shared" si="10"/>
        <v/>
      </c>
      <c r="DR55" s="84" t="str">
        <f>IF($AH55="選手権",(VLOOKUP($DO55,参照データ!$D$88:$K$117,7,0)),"")</f>
        <v/>
      </c>
      <c r="DS55" s="85" t="str">
        <f t="shared" si="24"/>
        <v/>
      </c>
      <c r="DT55" s="33" t="str">
        <f t="shared" si="25"/>
        <v/>
      </c>
      <c r="DU55" s="32" t="str">
        <f t="shared" si="26"/>
        <v/>
      </c>
      <c r="DV55" s="85" t="str">
        <f t="shared" si="27"/>
        <v/>
      </c>
      <c r="DW55" s="733"/>
      <c r="DX55" s="91" t="s">
        <v>128</v>
      </c>
      <c r="DY55" s="92" t="str">
        <f t="shared" si="37"/>
        <v/>
      </c>
      <c r="DZ55" s="735"/>
      <c r="EA55" s="312" t="str">
        <f t="shared" ref="EA55" si="100">$EA54</f>
        <v/>
      </c>
      <c r="EC55" s="491" t="str">
        <f t="shared" si="28"/>
        <v/>
      </c>
      <c r="EH55" s="35">
        <f>(COUNTIF($J55:$O55,"&lt;&gt;"))*参照データ!$E$3</f>
        <v>0</v>
      </c>
      <c r="EI55" s="219" t="str">
        <f>IF(P55="○",参照データ!$E$5,"")</f>
        <v/>
      </c>
      <c r="EJ55" s="219" t="str">
        <f>IF($Y55="○",参照データ!$E$4,"")</f>
        <v/>
      </c>
      <c r="EK55" s="18">
        <f>(SUM(COUNTIF($R55:$V55,{"入門","初級"}))*参照データ!$E$9)+(SUM(COUNTIF($R55:$V55,{"中級","上級"})*参照データ!$E$10))</f>
        <v>0</v>
      </c>
      <c r="EL55" s="18">
        <f>IFERROR(VLOOKUP($W55,参照データ!$D$9:$J$11,7,0),0)</f>
        <v>0</v>
      </c>
      <c r="EM55" s="18">
        <f>((COUNTIF($Z55:$AH55,"○"))*参照データ!$E$12)</f>
        <v>0</v>
      </c>
      <c r="EN55" s="18" t="str">
        <f>(IF($AJ55="○",参照データ!$J$12,""))</f>
        <v/>
      </c>
      <c r="EQ55" s="18">
        <f>((COUNTIF($Z55:$AH55,"選手権"))*参照データ!$E$13)</f>
        <v>0</v>
      </c>
      <c r="ER55" s="18" t="str">
        <f>(IF($AJ55="選手権",参照データ!$J$13,""))</f>
        <v/>
      </c>
      <c r="ES55" s="18">
        <f>(COUNTIF($AQ55:$AR55,"&lt;&gt;"))*参照データ!$H$3</f>
        <v>0</v>
      </c>
      <c r="ET55" s="18"/>
      <c r="EU55" s="18" t="str">
        <f>IF(AV55&lt;&gt;"",参照データ!$H$15,"")</f>
        <v/>
      </c>
      <c r="EV55" s="98" cm="1">
        <f t="array" ref="EV55">SUM(IF(ISERROR(EH55:EU55),0,(EH55:EU55)))</f>
        <v>0</v>
      </c>
      <c r="EW55" s="18"/>
      <c r="EX55" s="18">
        <f t="shared" si="86"/>
        <v>0</v>
      </c>
      <c r="EY55" s="18">
        <f t="shared" si="29"/>
        <v>0</v>
      </c>
      <c r="EZ55" s="18">
        <f t="shared" si="38"/>
        <v>0</v>
      </c>
      <c r="FA55" s="18">
        <f t="shared" si="30"/>
        <v>0</v>
      </c>
      <c r="FB55" s="18">
        <f t="shared" si="31"/>
        <v>0</v>
      </c>
      <c r="FC55" s="18">
        <f t="shared" si="32"/>
        <v>0</v>
      </c>
      <c r="FD55" s="18">
        <f t="shared" si="12"/>
        <v>0</v>
      </c>
      <c r="FE55" t="str">
        <f t="shared" si="33"/>
        <v/>
      </c>
    </row>
    <row r="56" spans="1:161" ht="18.75" customHeight="1" x14ac:dyDescent="0.2">
      <c r="A56">
        <v>45</v>
      </c>
      <c r="B56" s="14" t="str">
        <f>IF(D56="","",IF(D56="重複","",COUNTIF(B$12:$B55,"&gt;0")+1))</f>
        <v/>
      </c>
      <c r="C56" s="464"/>
      <c r="D56" s="177"/>
      <c r="E56" s="177"/>
      <c r="F56" s="31"/>
      <c r="G56" s="41"/>
      <c r="H56" s="351">
        <f t="shared" si="34"/>
        <v>0</v>
      </c>
      <c r="I56" s="193" t="str">
        <f>IF($AZ56=0,"",DATEDIF($AZ56,参照データ!$D$16,"Y"))</f>
        <v/>
      </c>
      <c r="J56" s="36"/>
      <c r="K56" s="36"/>
      <c r="L56" s="36"/>
      <c r="M56" s="36"/>
      <c r="N56" s="36"/>
      <c r="O56" s="42"/>
      <c r="P56" s="345"/>
      <c r="Q56" s="345"/>
      <c r="R56" s="43"/>
      <c r="S56" s="244"/>
      <c r="T56" s="244"/>
      <c r="U56" s="244"/>
      <c r="V56" s="245"/>
      <c r="W56" s="248"/>
      <c r="X56" s="250"/>
      <c r="Y56" s="345"/>
      <c r="Z56" s="388"/>
      <c r="AA56" s="346" t="str">
        <f>IF($Z56="○",VLOOKUP($CE56,参照データ!$D$65:$M$82,9,0),IF($Z56="選手権",VLOOKUP($DH56,参照データ!$D$88:$O$117,10,0),""))</f>
        <v/>
      </c>
      <c r="AB56" s="388"/>
      <c r="AC56" s="346" t="str">
        <f>IF($AB56="○",VLOOKUP($CE56,参照データ!$D$65:$M$82,10,0),IF($AB56="選手権",VLOOKUP($DH56,参照データ!$D$88:$O$117,11,0),""))</f>
        <v/>
      </c>
      <c r="AD56" s="388"/>
      <c r="AE56" s="346" t="str">
        <f>IF($AD56="○",VLOOKUP($CE56,参照データ!$D$65:$M$82,10,0),IF($AD56="選手権",VLOOKUP($DH56,参照データ!$D$88:$O$117,11,0),""))</f>
        <v/>
      </c>
      <c r="AF56" s="388"/>
      <c r="AG56" s="346" t="str">
        <f>IF($AF56="○",VLOOKUP($CE56,参照データ!$D$65:$M$82,10,0),IF($AF56="選手権",VLOOKUP($DO56,参照データ!$D$88:$O$117,12,0),""))</f>
        <v/>
      </c>
      <c r="AH56" s="388"/>
      <c r="AI56" s="346" t="str">
        <f>IF($AH56="○",VLOOKUP($CE56,参照データ!$D$65:$M$82,10,0),IF($AH56="選手権",VLOOKUP($DO56,参照データ!$D$88:$O$117,12,0),""))</f>
        <v/>
      </c>
      <c r="AJ56" s="388"/>
      <c r="AK56" s="511"/>
      <c r="AL56" s="346" t="str">
        <f t="shared" si="80"/>
        <v/>
      </c>
      <c r="AM56" s="392"/>
      <c r="AN56" s="391"/>
      <c r="AO56" s="391"/>
      <c r="AP56" s="447"/>
      <c r="AQ56" s="321"/>
      <c r="AR56" s="481"/>
      <c r="AS56" s="393"/>
      <c r="AT56" s="483"/>
      <c r="AU56" s="393"/>
      <c r="AV56" s="529"/>
      <c r="AW56" s="483"/>
      <c r="AZ56">
        <f t="shared" si="50"/>
        <v>0</v>
      </c>
      <c r="BA56" t="str">
        <f t="shared" si="35"/>
        <v/>
      </c>
      <c r="BB56" s="132"/>
      <c r="BD56" s="513" t="str">
        <f t="shared" si="81"/>
        <v/>
      </c>
      <c r="BE56" s="53" t="str">
        <f>IF($AZ56=0,"",IF(AND($I56&gt;=6,$I56&lt;=19),VLOOKUP($I56,参照データ!$B$24:$C$37,2,0),IF($I56&lt;6,6,19)))</f>
        <v/>
      </c>
      <c r="BF56" s="155" t="str">
        <f>IF($J56="○",VLOOKUP($BE56,参照データ!$C$24:$I$37,2,0),"")</f>
        <v/>
      </c>
      <c r="BG56" s="146" t="str">
        <f>IF($K56="○",VLOOKUP($BE56,参照データ!$C$24:$I$37,3,0),"")</f>
        <v/>
      </c>
      <c r="BH56" s="146" t="str">
        <f>IF($L56="○",VLOOKUP($BE56,参照データ!$C$24:$I$37,4,0),"")</f>
        <v/>
      </c>
      <c r="BI56" s="146" t="str">
        <f>IF($M56="○",VLOOKUP($BE56,参照データ!$C$24:$I$37,5,0),"")</f>
        <v/>
      </c>
      <c r="BJ56" s="146" t="str">
        <f>IF($N56="20日",VLOOKUP($BE56,参照データ!$C$24:$I$37,6,0),"")</f>
        <v/>
      </c>
      <c r="BK56" s="156" t="str">
        <f>IF($O56="20日",VLOOKUP($BE56,参照データ!$C$24:$I$37,7,0),"")</f>
        <v/>
      </c>
      <c r="BL56" s="155" t="str">
        <f>IF($J56="21日",VLOOKUP($BE56,参照データ!$C$24:$I$37,2,0),"")</f>
        <v/>
      </c>
      <c r="BM56" s="146" t="str">
        <f>IF($K56="21日",VLOOKUP($BE56,参照データ!$C$24:$I$37,3,0),"")</f>
        <v/>
      </c>
      <c r="BN56" s="146" t="str">
        <f>IF($L56="21日",VLOOKUP($BE56,参照データ!$C$24:$I$37,4,0),"")</f>
        <v/>
      </c>
      <c r="BO56" s="146" t="str">
        <f>IF($M56="21日",VLOOKUP($BE56,参照データ!$C$24:$I$37,5,0),"")</f>
        <v/>
      </c>
      <c r="BP56" s="146" t="str">
        <f>IF($N56="21日",VLOOKUP($BE56,参照データ!$C$24:$I$37,6,0),"")</f>
        <v/>
      </c>
      <c r="BQ56" s="156" t="str">
        <f>IF($O56="21日",VLOOKUP($BE56,参照データ!$C$24:$I$37,7,0),"")</f>
        <v/>
      </c>
      <c r="BR56" s="223" t="str">
        <f t="shared" si="42"/>
        <v/>
      </c>
      <c r="BS56" s="154" t="str">
        <f>IF($R56="入門",VLOOKUP($BE56,参照データ!$C$43:$U$56,2,0),IF($R56="初級",VLOOKUP($BE56,参照データ!$C$43:$U$56,3,0),IF($R56="中級",VLOOKUP($BE56,参照データ!$C$43:$U$56,4,0),IF($R56="上級",VLOOKUP($BE56,参照データ!$C$43:$U$56,5,0),""))))</f>
        <v/>
      </c>
      <c r="BT56" s="154" t="str">
        <f>IF($S56="初級",VLOOKUP($BE56,参照データ!$C$43:$U$56,6,0),IF($S56="中級",VLOOKUP($BE56,参照データ!$C$43:$U$56,7,0),IF($S56="上級",VLOOKUP($BE56,参照データ!$C$43:$U$56,8,0),"")))</f>
        <v/>
      </c>
      <c r="BU56" s="154" t="str">
        <f>IF($T56="初級",VLOOKUP($BE56,参照データ!$C$43:$U$56,9,0),IF($T56="上級",VLOOKUP($BE56,参照データ!$C$43:$U$56,10,0),""))</f>
        <v/>
      </c>
      <c r="BV56" s="154" t="str">
        <f>IF($U56="初級",VLOOKUP($BE56,参照データ!$C$43:$U$56,11,0),IF($U56="中級",VLOOKUP($BE56,参照データ!$C$43:$U$56,12,0),IF($U56="上級",VLOOKUP($BE56,参照データ!$C$43:$U$56,13,0),"")))</f>
        <v/>
      </c>
      <c r="BW56" s="154" t="str">
        <f>IF($V56="初級",VLOOKUP($BE56,参照データ!$C$43:$U$56,14,0),IF($V56="中級",VLOOKUP($BE56,参照データ!$C$43:$U$56,15,0),IF($V56="上級",VLOOKUP($BE56,参照データ!$C$43:$U$56,16,0),"")))</f>
        <v/>
      </c>
      <c r="BX56" s="47" t="str">
        <f t="shared" si="5"/>
        <v/>
      </c>
      <c r="BY56" s="47" t="str">
        <f>IF($W56="初級",VLOOKUP($BE56,参照データ!$C$43:$U$56,17,0),IF($W56="中級",VLOOKUP($BE56,参照データ!$C$43:$U$56,18,0),IF($W56="上級",VLOOKUP($BE56,参照データ!$C$43:$U$56,19,0),"")))</f>
        <v/>
      </c>
      <c r="BZ56" s="686">
        <v>23</v>
      </c>
      <c r="CA56" s="66" t="s">
        <v>268</v>
      </c>
      <c r="CB56" s="136" t="str">
        <f t="shared" si="13"/>
        <v/>
      </c>
      <c r="CC56" s="688" t="str">
        <f t="shared" ref="CC56" si="101">IF(OR($CB56="",$CB57=""),"",IF($CB56&gt;$CB57,$CB56,$CB57))</f>
        <v/>
      </c>
      <c r="CE56" s="53" t="str">
        <f>IF(AND($AZ56&gt;=参照データ!$C$67,$AZ56&lt;=参照データ!$C$65),1,IF(AND($AZ56&gt;=参照データ!$C$70,$AZ56&lt;=参照データ!$C$68),2,IF(AND($AZ56&gt;=参照データ!$C$73,$AZ56&lt;=参照データ!$C$71),3,IF(AND($AZ56&gt;=参照データ!$C$76,$AZ56&lt;=参照データ!$C$74),4,IF(AND($AZ56&gt;=参照データ!$C$79,$AZ56&lt;=参照データ!$C$77),5,IF(AND($AZ56&gt;0,$AZ56&lt;=参照データ!$C$80),6,""))))))</f>
        <v/>
      </c>
      <c r="CF56" s="141" t="str">
        <f>IF($Z56="○",(VLOOKUP($CE56,参照データ!$D$65:$J$82,2,0)),"")</f>
        <v/>
      </c>
      <c r="CG56" s="71" t="str">
        <f t="shared" si="14"/>
        <v/>
      </c>
      <c r="CH56" s="70" t="str">
        <f>IF($AB56="○",(VLOOKUP($CE56,参照データ!$D$65:$J$82,3,0)),"")</f>
        <v/>
      </c>
      <c r="CI56" s="71" t="str">
        <f t="shared" si="15"/>
        <v/>
      </c>
      <c r="CJ56" s="70" t="str">
        <f>IF($AD56="○",(VLOOKUP($CE56,参照データ!$D$65:$J$82,4,0)),"")</f>
        <v/>
      </c>
      <c r="CK56" s="71" t="str">
        <f t="shared" si="16"/>
        <v/>
      </c>
      <c r="CL56" s="70" t="str">
        <f>IF($AF56="○",(VLOOKUP($CE56,参照データ!$D$65:$J$82,5,0)),"")</f>
        <v/>
      </c>
      <c r="CM56" s="71" t="str">
        <f t="shared" si="6"/>
        <v/>
      </c>
      <c r="CN56" s="70" t="str">
        <f>IF($AH56="○",(VLOOKUP($CE56,参照データ!$D$65:$J$82,6,0)),"")</f>
        <v/>
      </c>
      <c r="CO56" s="71" t="str">
        <f t="shared" si="17"/>
        <v/>
      </c>
      <c r="CP56" s="33" t="str">
        <f t="shared" si="18"/>
        <v/>
      </c>
      <c r="CQ56" s="32" t="str">
        <f t="shared" si="19"/>
        <v/>
      </c>
      <c r="CR56" s="71" t="str">
        <f t="shared" si="20"/>
        <v/>
      </c>
      <c r="CS56" s="681">
        <v>23</v>
      </c>
      <c r="CT56" s="79" t="s">
        <v>129</v>
      </c>
      <c r="CU56" s="80" t="str">
        <f t="shared" si="21"/>
        <v/>
      </c>
      <c r="CV56" s="683" t="e">
        <f>IF($CU56&gt;$CU57,VLOOKUP($CU56,参照データ!$D$65:$J$82,7,0),VLOOKUP($CU57,参照データ!$D$65:$J$82,7,0))</f>
        <v>#N/A</v>
      </c>
      <c r="CW56" s="308" t="str">
        <f>IFERROR(VLOOKUP($CV56,参照データ!$J$65:$M$82,4,0),"")</f>
        <v/>
      </c>
      <c r="CX56" s="70"/>
      <c r="CY56" s="172" t="str">
        <f t="shared" si="22"/>
        <v/>
      </c>
      <c r="DA56" s="32"/>
      <c r="DB56" s="161" t="str">
        <f t="shared" si="23"/>
        <v/>
      </c>
      <c r="DC56" s="743">
        <v>23</v>
      </c>
      <c r="DD56" s="166" t="s">
        <v>129</v>
      </c>
      <c r="DE56" s="167" t="str">
        <f t="shared" si="44"/>
        <v/>
      </c>
      <c r="DF56" s="741" t="str">
        <f>IF(OR(DE56="",DE57=""),"",IF(DE56&gt;DE57,DE56,DE57))</f>
        <v/>
      </c>
      <c r="DG56" t="str">
        <f>IF($DH56="","",DATEDIF($AZ56,参照データ!$D$19,"Y"))</f>
        <v/>
      </c>
      <c r="DH56" s="253" t="str">
        <f>IFERROR(IF($BA56="男子",VLOOKUP($DO56,参照データ!$D$88:$E$117,2,0),$DO56),0)</f>
        <v/>
      </c>
      <c r="DI56" s="84" t="str">
        <f>IF($Z56="選手権",(VLOOKUP($DH56,参照データ!$D$88:$K$117,3,0)),"")</f>
        <v/>
      </c>
      <c r="DJ56" s="85" t="str">
        <f t="shared" si="83"/>
        <v/>
      </c>
      <c r="DK56" s="84" t="str">
        <f>IF($AB56="選手権",(VLOOKUP($DH56,参照データ!$D$88:$K$117,4,0)),"")</f>
        <v/>
      </c>
      <c r="DL56" s="85" t="str">
        <f t="shared" si="84"/>
        <v/>
      </c>
      <c r="DM56" s="84" t="str">
        <f>IF($AD56="選手権",(VLOOKUP($DH56,参照データ!$D$88:$K$117,5,0)),"")</f>
        <v/>
      </c>
      <c r="DN56" s="85" t="str">
        <f t="shared" si="85"/>
        <v/>
      </c>
      <c r="DO56" s="53" t="str">
        <f>IF(AND($AZ56&gt;=参照データ!$C$90,$AZ56&lt;=参照データ!$C$88),1,IF(AND($AZ56&gt;=参照データ!$C$93,$AZ56&lt;=参照データ!$C$91),2,IF(AND($AZ56&gt;=参照データ!$C$99,$AZ56&lt;=参照データ!$C$97),3,IF(AND($AZ56&gt;=参照データ!$C$105,$AZ56&lt;=参照データ!$C$103),4,IF(AND($AZ56&gt;=参照データ!$C$111,$AZ56&lt;=参照データ!$C$109),5,IF(AND($AZ56&gt;0,$AZ56&lt;=参照データ!$C$112),6,""))))))</f>
        <v/>
      </c>
      <c r="DP56" s="84" t="str">
        <f>IF($AF56="選手権",(VLOOKUP($DO56,参照データ!$D$88:$K$117,6,0)),"")</f>
        <v/>
      </c>
      <c r="DQ56" s="85" t="str">
        <f t="shared" si="10"/>
        <v/>
      </c>
      <c r="DR56" s="84" t="str">
        <f>IF($AH56="選手権",(VLOOKUP($DO56,参照データ!$D$88:$K$117,7,0)),"")</f>
        <v/>
      </c>
      <c r="DS56" s="85" t="str">
        <f t="shared" si="24"/>
        <v/>
      </c>
      <c r="DT56" s="33" t="str">
        <f t="shared" si="25"/>
        <v/>
      </c>
      <c r="DU56" s="32" t="str">
        <f t="shared" si="26"/>
        <v/>
      </c>
      <c r="DV56" s="85" t="str">
        <f t="shared" si="27"/>
        <v/>
      </c>
      <c r="DW56" s="736">
        <v>23</v>
      </c>
      <c r="DX56" s="93" t="s">
        <v>129</v>
      </c>
      <c r="DY56" s="94" t="str">
        <f t="shared" si="37"/>
        <v/>
      </c>
      <c r="DZ56" s="737" t="e">
        <f>IF($DY56&gt;$DY57,VLOOKUP($DY56,参照データ!$D$88:$K$117,8,0),VLOOKUP($DY57,参照データ!$D$88:$K$117,8,0))</f>
        <v>#N/A</v>
      </c>
      <c r="EA56" s="312" t="str">
        <f>IFERROR(VLOOKUP($DZ56,参照データ!$K$88:$O$117,5,0),"")</f>
        <v/>
      </c>
      <c r="EC56" s="491" t="str">
        <f t="shared" si="28"/>
        <v/>
      </c>
      <c r="EH56" s="35">
        <f>(COUNTIF($J56:$O56,"&lt;&gt;"))*参照データ!$E$3</f>
        <v>0</v>
      </c>
      <c r="EI56" s="219" t="str">
        <f>IF(P56="○",参照データ!$E$5,"")</f>
        <v/>
      </c>
      <c r="EJ56" s="219" t="str">
        <f>IF($Y56="○",参照データ!$E$4,"")</f>
        <v/>
      </c>
      <c r="EK56" s="18">
        <f>(SUM(COUNTIF($R56:$V56,{"入門","初級"}))*参照データ!$E$9)+(SUM(COUNTIF($R56:$V56,{"中級","上級"})*参照データ!$E$10))</f>
        <v>0</v>
      </c>
      <c r="EL56" s="18">
        <f>IFERROR(VLOOKUP($W56,参照データ!$D$9:$J$11,7,0),0)</f>
        <v>0</v>
      </c>
      <c r="EM56" s="18">
        <f>((COUNTIF($Z56:$AH56,"○"))*参照データ!$E$12)</f>
        <v>0</v>
      </c>
      <c r="EN56" s="18" t="str">
        <f>(IF($AJ56="○",参照データ!$J$12,""))</f>
        <v/>
      </c>
      <c r="EQ56" s="18">
        <f>((COUNTIF($Z56:$AH56,"選手権"))*参照データ!$E$13)</f>
        <v>0</v>
      </c>
      <c r="ER56" s="18" t="str">
        <f>(IF($AJ56="選手権",参照データ!$J$13,""))</f>
        <v/>
      </c>
      <c r="ES56" s="18">
        <f>(COUNTIF($AQ56:$AR56,"&lt;&gt;"))*参照データ!$H$3</f>
        <v>0</v>
      </c>
      <c r="ET56" s="18"/>
      <c r="EU56" s="18" t="str">
        <f>IF(AV56&lt;&gt;"",参照データ!$H$15,"")</f>
        <v/>
      </c>
      <c r="EV56" s="98" cm="1">
        <f t="array" ref="EV56">SUM(IF(ISERROR(EH56:EU56),0,(EH56:EU56)))</f>
        <v>0</v>
      </c>
      <c r="EW56" s="18"/>
      <c r="EX56" s="18">
        <f t="shared" si="86"/>
        <v>0</v>
      </c>
      <c r="EY56" s="18">
        <f t="shared" si="29"/>
        <v>0</v>
      </c>
      <c r="EZ56" s="18">
        <f t="shared" si="38"/>
        <v>0</v>
      </c>
      <c r="FA56" s="18">
        <f t="shared" si="30"/>
        <v>0</v>
      </c>
      <c r="FB56" s="18">
        <f t="shared" si="31"/>
        <v>0</v>
      </c>
      <c r="FC56" s="18">
        <f t="shared" si="32"/>
        <v>0</v>
      </c>
      <c r="FD56" s="18">
        <f t="shared" si="12"/>
        <v>0</v>
      </c>
      <c r="FE56" t="str">
        <f t="shared" si="33"/>
        <v/>
      </c>
    </row>
    <row r="57" spans="1:161" ht="18.75" customHeight="1" x14ac:dyDescent="0.2">
      <c r="A57">
        <v>46</v>
      </c>
      <c r="B57" s="14" t="str">
        <f>IF(D57="","",IF(D57="重複","",COUNTIF(B$12:$B56,"&gt;0")+1))</f>
        <v/>
      </c>
      <c r="C57" s="464"/>
      <c r="D57" s="177"/>
      <c r="E57" s="177"/>
      <c r="F57" s="31"/>
      <c r="G57" s="41"/>
      <c r="H57" s="351">
        <f t="shared" si="34"/>
        <v>0</v>
      </c>
      <c r="I57" s="193" t="str">
        <f>IF($AZ57=0,"",DATEDIF($AZ57,参照データ!$D$16,"Y"))</f>
        <v/>
      </c>
      <c r="J57" s="36"/>
      <c r="K57" s="36"/>
      <c r="L57" s="36"/>
      <c r="M57" s="36"/>
      <c r="N57" s="36"/>
      <c r="O57" s="42"/>
      <c r="P57" s="345"/>
      <c r="Q57" s="345"/>
      <c r="R57" s="43"/>
      <c r="S57" s="244"/>
      <c r="T57" s="244"/>
      <c r="U57" s="244"/>
      <c r="V57" s="245"/>
      <c r="W57" s="248"/>
      <c r="X57" s="250"/>
      <c r="Y57" s="345"/>
      <c r="Z57" s="388"/>
      <c r="AA57" s="346" t="str">
        <f>IF($Z57="○",VLOOKUP($CE57,参照データ!$D$65:$M$82,9,0),IF($Z57="選手権",VLOOKUP($DH57,参照データ!$D$88:$O$117,10,0),""))</f>
        <v/>
      </c>
      <c r="AB57" s="388"/>
      <c r="AC57" s="346" t="str">
        <f>IF($AB57="○",VLOOKUP($CE57,参照データ!$D$65:$M$82,10,0),IF($AB57="選手権",VLOOKUP($DH57,参照データ!$D$88:$O$117,11,0),""))</f>
        <v/>
      </c>
      <c r="AD57" s="388"/>
      <c r="AE57" s="346" t="str">
        <f>IF($AD57="○",VLOOKUP($CE57,参照データ!$D$65:$M$82,10,0),IF($AD57="選手権",VLOOKUP($DH57,参照データ!$D$88:$O$117,11,0),""))</f>
        <v/>
      </c>
      <c r="AF57" s="388"/>
      <c r="AG57" s="346" t="str">
        <f>IF($AF57="○",VLOOKUP($CE57,参照データ!$D$65:$M$82,10,0),IF($AF57="選手権",VLOOKUP($DO57,参照データ!$D$88:$O$117,12,0),""))</f>
        <v/>
      </c>
      <c r="AH57" s="388"/>
      <c r="AI57" s="346" t="str">
        <f>IF($AH57="○",VLOOKUP($CE57,参照データ!$D$65:$M$82,10,0),IF($AH57="選手権",VLOOKUP($DO57,参照データ!$D$88:$O$117,12,0),""))</f>
        <v/>
      </c>
      <c r="AJ57" s="388"/>
      <c r="AK57" s="511"/>
      <c r="AL57" s="346" t="str">
        <f t="shared" si="80"/>
        <v/>
      </c>
      <c r="AM57" s="392"/>
      <c r="AN57" s="391"/>
      <c r="AO57" s="391"/>
      <c r="AP57" s="447"/>
      <c r="AQ57" s="321"/>
      <c r="AR57" s="481"/>
      <c r="AS57" s="393"/>
      <c r="AT57" s="483"/>
      <c r="AU57" s="393"/>
      <c r="AV57" s="529"/>
      <c r="AW57" s="483"/>
      <c r="AZ57">
        <f t="shared" si="50"/>
        <v>0</v>
      </c>
      <c r="BA57" t="str">
        <f t="shared" si="35"/>
        <v/>
      </c>
      <c r="BB57" s="132"/>
      <c r="BD57" s="513" t="str">
        <f t="shared" si="81"/>
        <v/>
      </c>
      <c r="BE57" s="53" t="str">
        <f>IF($AZ57=0,"",IF(AND($I57&gt;=6,$I57&lt;=19),VLOOKUP($I57,参照データ!$B$24:$C$37,2,0),IF($I57&lt;6,6,19)))</f>
        <v/>
      </c>
      <c r="BF57" s="155" t="str">
        <f>IF($J57="○",VLOOKUP($BE57,参照データ!$C$24:$I$37,2,0),"")</f>
        <v/>
      </c>
      <c r="BG57" s="146" t="str">
        <f>IF($K57="○",VLOOKUP($BE57,参照データ!$C$24:$I$37,3,0),"")</f>
        <v/>
      </c>
      <c r="BH57" s="146" t="str">
        <f>IF($L57="○",VLOOKUP($BE57,参照データ!$C$24:$I$37,4,0),"")</f>
        <v/>
      </c>
      <c r="BI57" s="146" t="str">
        <f>IF($M57="○",VLOOKUP($BE57,参照データ!$C$24:$I$37,5,0),"")</f>
        <v/>
      </c>
      <c r="BJ57" s="146" t="str">
        <f>IF($N57="20日",VLOOKUP($BE57,参照データ!$C$24:$I$37,6,0),"")</f>
        <v/>
      </c>
      <c r="BK57" s="156" t="str">
        <f>IF($O57="20日",VLOOKUP($BE57,参照データ!$C$24:$I$37,7,0),"")</f>
        <v/>
      </c>
      <c r="BL57" s="155" t="str">
        <f>IF($J57="21日",VLOOKUP($BE57,参照データ!$C$24:$I$37,2,0),"")</f>
        <v/>
      </c>
      <c r="BM57" s="146" t="str">
        <f>IF($K57="21日",VLOOKUP($BE57,参照データ!$C$24:$I$37,3,0),"")</f>
        <v/>
      </c>
      <c r="BN57" s="146" t="str">
        <f>IF($L57="21日",VLOOKUP($BE57,参照データ!$C$24:$I$37,4,0),"")</f>
        <v/>
      </c>
      <c r="BO57" s="146" t="str">
        <f>IF($M57="21日",VLOOKUP($BE57,参照データ!$C$24:$I$37,5,0),"")</f>
        <v/>
      </c>
      <c r="BP57" s="146" t="str">
        <f>IF($N57="21日",VLOOKUP($BE57,参照データ!$C$24:$I$37,6,0),"")</f>
        <v/>
      </c>
      <c r="BQ57" s="156" t="str">
        <f>IF($O57="21日",VLOOKUP($BE57,参照データ!$C$24:$I$37,7,0),"")</f>
        <v/>
      </c>
      <c r="BR57" s="223" t="str">
        <f t="shared" si="42"/>
        <v/>
      </c>
      <c r="BS57" s="154" t="str">
        <f>IF($R57="入門",VLOOKUP($BE57,参照データ!$C$43:$U$56,2,0),IF($R57="初級",VLOOKUP($BE57,参照データ!$C$43:$U$56,3,0),IF($R57="中級",VLOOKUP($BE57,参照データ!$C$43:$U$56,4,0),IF($R57="上級",VLOOKUP($BE57,参照データ!$C$43:$U$56,5,0),""))))</f>
        <v/>
      </c>
      <c r="BT57" s="154" t="str">
        <f>IF($S57="初級",VLOOKUP($BE57,参照データ!$C$43:$U$56,6,0),IF($S57="中級",VLOOKUP($BE57,参照データ!$C$43:$U$56,7,0),IF($S57="上級",VLOOKUP($BE57,参照データ!$C$43:$U$56,8,0),"")))</f>
        <v/>
      </c>
      <c r="BU57" s="154" t="str">
        <f>IF($T57="初級",VLOOKUP($BE57,参照データ!$C$43:$U$56,9,0),IF($T57="上級",VLOOKUP($BE57,参照データ!$C$43:$U$56,10,0),""))</f>
        <v/>
      </c>
      <c r="BV57" s="154" t="str">
        <f>IF($U57="初級",VLOOKUP($BE57,参照データ!$C$43:$U$56,11,0),IF($U57="中級",VLOOKUP($BE57,参照データ!$C$43:$U$56,12,0),IF($U57="上級",VLOOKUP($BE57,参照データ!$C$43:$U$56,13,0),"")))</f>
        <v/>
      </c>
      <c r="BW57" s="154" t="str">
        <f>IF($V57="初級",VLOOKUP($BE57,参照データ!$C$43:$U$56,14,0),IF($V57="中級",VLOOKUP($BE57,参照データ!$C$43:$U$56,15,0),IF($V57="上級",VLOOKUP($BE57,参照データ!$C$43:$U$56,16,0),"")))</f>
        <v/>
      </c>
      <c r="BX57" s="47" t="str">
        <f t="shared" si="5"/>
        <v/>
      </c>
      <c r="BY57" s="47" t="str">
        <f>IF($W57="初級",VLOOKUP($BE57,参照データ!$C$43:$U$56,17,0),IF($W57="中級",VLOOKUP($BE57,参照データ!$C$43:$U$56,18,0),IF($W57="上級",VLOOKUP($BE57,参照データ!$C$43:$U$56,19,0),"")))</f>
        <v/>
      </c>
      <c r="BZ57" s="687"/>
      <c r="CA57" s="65" t="s">
        <v>269</v>
      </c>
      <c r="CB57" s="135" t="str">
        <f t="shared" si="13"/>
        <v/>
      </c>
      <c r="CC57" s="689"/>
      <c r="CE57" s="53" t="str">
        <f>IF(AND($AZ57&gt;=参照データ!$C$67,$AZ57&lt;=参照データ!$C$65),1,IF(AND($AZ57&gt;=参照データ!$C$70,$AZ57&lt;=参照データ!$C$68),2,IF(AND($AZ57&gt;=参照データ!$C$73,$AZ57&lt;=参照データ!$C$71),3,IF(AND($AZ57&gt;=参照データ!$C$76,$AZ57&lt;=参照データ!$C$74),4,IF(AND($AZ57&gt;=参照データ!$C$79,$AZ57&lt;=参照データ!$C$77),5,IF(AND($AZ57&gt;0,$AZ57&lt;=参照データ!$C$80),6,""))))))</f>
        <v/>
      </c>
      <c r="CF57" s="141" t="str">
        <f>IF($Z57="○",(VLOOKUP($CE57,参照データ!$D$65:$J$82,2,0)),"")</f>
        <v/>
      </c>
      <c r="CG57" s="71" t="str">
        <f t="shared" si="14"/>
        <v/>
      </c>
      <c r="CH57" s="70" t="str">
        <f>IF($AB57="○",(VLOOKUP($CE57,参照データ!$D$65:$J$82,3,0)),"")</f>
        <v/>
      </c>
      <c r="CI57" s="71" t="str">
        <f t="shared" si="15"/>
        <v/>
      </c>
      <c r="CJ57" s="70" t="str">
        <f>IF($AD57="○",(VLOOKUP($CE57,参照データ!$D$65:$J$82,4,0)),"")</f>
        <v/>
      </c>
      <c r="CK57" s="71" t="str">
        <f t="shared" si="16"/>
        <v/>
      </c>
      <c r="CL57" s="70" t="str">
        <f>IF($AF57="○",(VLOOKUP($CE57,参照データ!$D$65:$J$82,5,0)),"")</f>
        <v/>
      </c>
      <c r="CM57" s="71" t="str">
        <f t="shared" si="6"/>
        <v/>
      </c>
      <c r="CN57" s="70" t="str">
        <f>IF($AH57="○",(VLOOKUP($CE57,参照データ!$D$65:$J$82,6,0)),"")</f>
        <v/>
      </c>
      <c r="CO57" s="71" t="str">
        <f t="shared" si="17"/>
        <v/>
      </c>
      <c r="CP57" s="33" t="str">
        <f t="shared" si="18"/>
        <v/>
      </c>
      <c r="CQ57" s="32" t="str">
        <f t="shared" si="19"/>
        <v/>
      </c>
      <c r="CR57" s="71" t="str">
        <f t="shared" si="20"/>
        <v/>
      </c>
      <c r="CS57" s="682"/>
      <c r="CT57" s="77" t="s">
        <v>130</v>
      </c>
      <c r="CU57" s="78" t="str">
        <f t="shared" si="21"/>
        <v/>
      </c>
      <c r="CV57" s="684"/>
      <c r="CW57" s="308" t="str">
        <f t="shared" ref="CW57" si="102">$CW56</f>
        <v/>
      </c>
      <c r="CX57" s="70"/>
      <c r="CY57" s="172" t="str">
        <f t="shared" si="22"/>
        <v/>
      </c>
      <c r="DA57" s="32"/>
      <c r="DB57" s="161" t="str">
        <f t="shared" si="23"/>
        <v/>
      </c>
      <c r="DC57" s="744"/>
      <c r="DD57" s="164" t="s">
        <v>130</v>
      </c>
      <c r="DE57" s="165" t="str">
        <f t="shared" si="44"/>
        <v/>
      </c>
      <c r="DF57" s="742"/>
      <c r="DG57" t="str">
        <f>IF($DH57="","",DATEDIF($AZ57,参照データ!$D$19,"Y"))</f>
        <v/>
      </c>
      <c r="DH57" s="253" t="str">
        <f>IFERROR(IF($BA57="男子",VLOOKUP($DO57,参照データ!$D$88:$E$117,2,0),$DO57),0)</f>
        <v/>
      </c>
      <c r="DI57" s="84" t="str">
        <f>IF($Z57="選手権",(VLOOKUP($DH57,参照データ!$D$88:$K$117,3,0)),"")</f>
        <v/>
      </c>
      <c r="DJ57" s="85" t="str">
        <f t="shared" si="83"/>
        <v/>
      </c>
      <c r="DK57" s="84" t="str">
        <f>IF($AB57="選手権",(VLOOKUP($DH57,参照データ!$D$88:$K$117,4,0)),"")</f>
        <v/>
      </c>
      <c r="DL57" s="85" t="str">
        <f t="shared" si="84"/>
        <v/>
      </c>
      <c r="DM57" s="84" t="str">
        <f>IF($AD57="選手権",(VLOOKUP($DH57,参照データ!$D$88:$K$117,5,0)),"")</f>
        <v/>
      </c>
      <c r="DN57" s="85" t="str">
        <f t="shared" si="85"/>
        <v/>
      </c>
      <c r="DO57" s="53" t="str">
        <f>IF(AND($AZ57&gt;=参照データ!$C$90,$AZ57&lt;=参照データ!$C$88),1,IF(AND($AZ57&gt;=参照データ!$C$93,$AZ57&lt;=参照データ!$C$91),2,IF(AND($AZ57&gt;=参照データ!$C$99,$AZ57&lt;=参照データ!$C$97),3,IF(AND($AZ57&gt;=参照データ!$C$105,$AZ57&lt;=参照データ!$C$103),4,IF(AND($AZ57&gt;=参照データ!$C$111,$AZ57&lt;=参照データ!$C$109),5,IF(AND($AZ57&gt;0,$AZ57&lt;=参照データ!$C$112),6,""))))))</f>
        <v/>
      </c>
      <c r="DP57" s="84" t="str">
        <f>IF($AF57="選手権",(VLOOKUP($DO57,参照データ!$D$88:$K$117,6,0)),"")</f>
        <v/>
      </c>
      <c r="DQ57" s="85" t="str">
        <f t="shared" si="10"/>
        <v/>
      </c>
      <c r="DR57" s="84" t="str">
        <f>IF($AH57="選手権",(VLOOKUP($DO57,参照データ!$D$88:$K$117,7,0)),"")</f>
        <v/>
      </c>
      <c r="DS57" s="85" t="str">
        <f t="shared" si="24"/>
        <v/>
      </c>
      <c r="DT57" s="33" t="str">
        <f t="shared" si="25"/>
        <v/>
      </c>
      <c r="DU57" s="32" t="str">
        <f t="shared" si="26"/>
        <v/>
      </c>
      <c r="DV57" s="85" t="str">
        <f t="shared" si="27"/>
        <v/>
      </c>
      <c r="DW57" s="733"/>
      <c r="DX57" s="91" t="s">
        <v>130</v>
      </c>
      <c r="DY57" s="92" t="str">
        <f t="shared" si="37"/>
        <v/>
      </c>
      <c r="DZ57" s="735"/>
      <c r="EA57" s="312" t="str">
        <f t="shared" ref="EA57" si="103">$EA56</f>
        <v/>
      </c>
      <c r="EC57" s="491" t="str">
        <f t="shared" si="28"/>
        <v/>
      </c>
      <c r="EH57" s="35">
        <f>(COUNTIF($J57:$O57,"&lt;&gt;"))*参照データ!$E$3</f>
        <v>0</v>
      </c>
      <c r="EI57" s="219" t="str">
        <f>IF(P57="○",参照データ!$E$5,"")</f>
        <v/>
      </c>
      <c r="EJ57" s="219" t="str">
        <f>IF($Y57="○",参照データ!$E$4,"")</f>
        <v/>
      </c>
      <c r="EK57" s="18">
        <f>(SUM(COUNTIF($R57:$V57,{"入門","初級"}))*参照データ!$E$9)+(SUM(COUNTIF($R57:$V57,{"中級","上級"})*参照データ!$E$10))</f>
        <v>0</v>
      </c>
      <c r="EL57" s="18">
        <f>IFERROR(VLOOKUP($W57,参照データ!$D$9:$J$11,7,0),0)</f>
        <v>0</v>
      </c>
      <c r="EM57" s="18">
        <f>((COUNTIF($Z57:$AH57,"○"))*参照データ!$E$12)</f>
        <v>0</v>
      </c>
      <c r="EN57" s="18" t="str">
        <f>(IF($AJ57="○",参照データ!$J$12,""))</f>
        <v/>
      </c>
      <c r="EQ57" s="18">
        <f>((COUNTIF($Z57:$AH57,"選手権"))*参照データ!$E$13)</f>
        <v>0</v>
      </c>
      <c r="ER57" s="18" t="str">
        <f>(IF($AJ57="選手権",参照データ!$J$13,""))</f>
        <v/>
      </c>
      <c r="ES57" s="18">
        <f>(COUNTIF($AQ57:$AR57,"&lt;&gt;"))*参照データ!$H$3</f>
        <v>0</v>
      </c>
      <c r="ET57" s="18"/>
      <c r="EU57" s="18" t="str">
        <f>IF(AV57&lt;&gt;"",参照データ!$H$15,"")</f>
        <v/>
      </c>
      <c r="EV57" s="98" cm="1">
        <f t="array" ref="EV57">SUM(IF(ISERROR(EH57:EU57),0,(EH57:EU57)))</f>
        <v>0</v>
      </c>
      <c r="EW57" s="18"/>
      <c r="EX57" s="18">
        <f t="shared" si="86"/>
        <v>0</v>
      </c>
      <c r="EY57" s="18">
        <f t="shared" si="29"/>
        <v>0</v>
      </c>
      <c r="EZ57" s="18">
        <f t="shared" si="38"/>
        <v>0</v>
      </c>
      <c r="FA57" s="18">
        <f t="shared" si="30"/>
        <v>0</v>
      </c>
      <c r="FB57" s="18">
        <f t="shared" si="31"/>
        <v>0</v>
      </c>
      <c r="FC57" s="18">
        <f t="shared" si="32"/>
        <v>0</v>
      </c>
      <c r="FD57" s="18">
        <f t="shared" si="12"/>
        <v>0</v>
      </c>
      <c r="FE57" t="str">
        <f t="shared" si="33"/>
        <v/>
      </c>
    </row>
    <row r="58" spans="1:161" ht="18.75" customHeight="1" x14ac:dyDescent="0.2">
      <c r="A58">
        <v>47</v>
      </c>
      <c r="B58" s="14" t="str">
        <f>IF(D58="","",IF(D58="重複","",COUNTIF(B$12:$B57,"&gt;0")+1))</f>
        <v/>
      </c>
      <c r="C58" s="464"/>
      <c r="D58" s="177"/>
      <c r="E58" s="177"/>
      <c r="F58" s="31"/>
      <c r="G58" s="41"/>
      <c r="H58" s="351">
        <f t="shared" si="34"/>
        <v>0</v>
      </c>
      <c r="I58" s="193" t="str">
        <f>IF($AZ58=0,"",DATEDIF($AZ58,参照データ!$D$16,"Y"))</f>
        <v/>
      </c>
      <c r="J58" s="36"/>
      <c r="K58" s="36"/>
      <c r="L58" s="36"/>
      <c r="M58" s="36"/>
      <c r="N58" s="36"/>
      <c r="O58" s="42"/>
      <c r="P58" s="345"/>
      <c r="Q58" s="345"/>
      <c r="R58" s="43"/>
      <c r="S58" s="244"/>
      <c r="T58" s="244"/>
      <c r="U58" s="244"/>
      <c r="V58" s="245"/>
      <c r="W58" s="248"/>
      <c r="X58" s="250"/>
      <c r="Y58" s="345"/>
      <c r="Z58" s="388"/>
      <c r="AA58" s="346" t="str">
        <f>IF($Z58="○",VLOOKUP($CE58,参照データ!$D$65:$M$82,9,0),IF($Z58="選手権",VLOOKUP($DH58,参照データ!$D$88:$O$117,10,0),""))</f>
        <v/>
      </c>
      <c r="AB58" s="388"/>
      <c r="AC58" s="346" t="str">
        <f>IF($AB58="○",VLOOKUP($CE58,参照データ!$D$65:$M$82,10,0),IF($AB58="選手権",VLOOKUP($DH58,参照データ!$D$88:$O$117,11,0),""))</f>
        <v/>
      </c>
      <c r="AD58" s="388"/>
      <c r="AE58" s="346" t="str">
        <f>IF($AD58="○",VLOOKUP($CE58,参照データ!$D$65:$M$82,10,0),IF($AD58="選手権",VLOOKUP($DH58,参照データ!$D$88:$O$117,11,0),""))</f>
        <v/>
      </c>
      <c r="AF58" s="388"/>
      <c r="AG58" s="346" t="str">
        <f>IF($AF58="○",VLOOKUP($CE58,参照データ!$D$65:$M$82,10,0),IF($AF58="選手権",VLOOKUP($DO58,参照データ!$D$88:$O$117,12,0),""))</f>
        <v/>
      </c>
      <c r="AH58" s="388"/>
      <c r="AI58" s="346" t="str">
        <f>IF($AH58="○",VLOOKUP($CE58,参照データ!$D$65:$M$82,10,0),IF($AH58="選手権",VLOOKUP($DO58,参照データ!$D$88:$O$117,12,0),""))</f>
        <v/>
      </c>
      <c r="AJ58" s="388"/>
      <c r="AK58" s="511"/>
      <c r="AL58" s="346" t="str">
        <f t="shared" si="80"/>
        <v/>
      </c>
      <c r="AM58" s="392"/>
      <c r="AN58" s="391"/>
      <c r="AO58" s="391"/>
      <c r="AP58" s="447"/>
      <c r="AQ58" s="321"/>
      <c r="AR58" s="481"/>
      <c r="AS58" s="393"/>
      <c r="AT58" s="483"/>
      <c r="AU58" s="393"/>
      <c r="AV58" s="529"/>
      <c r="AW58" s="483"/>
      <c r="AZ58">
        <f t="shared" si="50"/>
        <v>0</v>
      </c>
      <c r="BA58" t="str">
        <f t="shared" si="35"/>
        <v/>
      </c>
      <c r="BB58" s="132"/>
      <c r="BD58" s="513" t="str">
        <f t="shared" si="81"/>
        <v/>
      </c>
      <c r="BE58" s="53" t="str">
        <f>IF($AZ58=0,"",IF(AND($I58&gt;=6,$I58&lt;=19),VLOOKUP($I58,参照データ!$B$24:$C$37,2,0),IF($I58&lt;6,6,19)))</f>
        <v/>
      </c>
      <c r="BF58" s="155" t="str">
        <f>IF($J58="○",VLOOKUP($BE58,参照データ!$C$24:$I$37,2,0),"")</f>
        <v/>
      </c>
      <c r="BG58" s="146" t="str">
        <f>IF($K58="○",VLOOKUP($BE58,参照データ!$C$24:$I$37,3,0),"")</f>
        <v/>
      </c>
      <c r="BH58" s="146" t="str">
        <f>IF($L58="○",VLOOKUP($BE58,参照データ!$C$24:$I$37,4,0),"")</f>
        <v/>
      </c>
      <c r="BI58" s="146" t="str">
        <f>IF($M58="○",VLOOKUP($BE58,参照データ!$C$24:$I$37,5,0),"")</f>
        <v/>
      </c>
      <c r="BJ58" s="146" t="str">
        <f>IF($N58="20日",VLOOKUP($BE58,参照データ!$C$24:$I$37,6,0),"")</f>
        <v/>
      </c>
      <c r="BK58" s="156" t="str">
        <f>IF($O58="20日",VLOOKUP($BE58,参照データ!$C$24:$I$37,7,0),"")</f>
        <v/>
      </c>
      <c r="BL58" s="155" t="str">
        <f>IF($J58="21日",VLOOKUP($BE58,参照データ!$C$24:$I$37,2,0),"")</f>
        <v/>
      </c>
      <c r="BM58" s="146" t="str">
        <f>IF($K58="21日",VLOOKUP($BE58,参照データ!$C$24:$I$37,3,0),"")</f>
        <v/>
      </c>
      <c r="BN58" s="146" t="str">
        <f>IF($L58="21日",VLOOKUP($BE58,参照データ!$C$24:$I$37,4,0),"")</f>
        <v/>
      </c>
      <c r="BO58" s="146" t="str">
        <f>IF($M58="21日",VLOOKUP($BE58,参照データ!$C$24:$I$37,5,0),"")</f>
        <v/>
      </c>
      <c r="BP58" s="146" t="str">
        <f>IF($N58="21日",VLOOKUP($BE58,参照データ!$C$24:$I$37,6,0),"")</f>
        <v/>
      </c>
      <c r="BQ58" s="156" t="str">
        <f>IF($O58="21日",VLOOKUP($BE58,参照データ!$C$24:$I$37,7,0),"")</f>
        <v/>
      </c>
      <c r="BR58" s="223" t="str">
        <f t="shared" si="42"/>
        <v/>
      </c>
      <c r="BS58" s="154" t="str">
        <f>IF($R58="入門",VLOOKUP($BE58,参照データ!$C$43:$U$56,2,0),IF($R58="初級",VLOOKUP($BE58,参照データ!$C$43:$U$56,3,0),IF($R58="中級",VLOOKUP($BE58,参照データ!$C$43:$U$56,4,0),IF($R58="上級",VLOOKUP($BE58,参照データ!$C$43:$U$56,5,0),""))))</f>
        <v/>
      </c>
      <c r="BT58" s="154" t="str">
        <f>IF($S58="初級",VLOOKUP($BE58,参照データ!$C$43:$U$56,6,0),IF($S58="中級",VLOOKUP($BE58,参照データ!$C$43:$U$56,7,0),IF($S58="上級",VLOOKUP($BE58,参照データ!$C$43:$U$56,8,0),"")))</f>
        <v/>
      </c>
      <c r="BU58" s="154" t="str">
        <f>IF($T58="初級",VLOOKUP($BE58,参照データ!$C$43:$U$56,9,0),IF($T58="上級",VLOOKUP($BE58,参照データ!$C$43:$U$56,10,0),""))</f>
        <v/>
      </c>
      <c r="BV58" s="154" t="str">
        <f>IF($U58="初級",VLOOKUP($BE58,参照データ!$C$43:$U$56,11,0),IF($U58="中級",VLOOKUP($BE58,参照データ!$C$43:$U$56,12,0),IF($U58="上級",VLOOKUP($BE58,参照データ!$C$43:$U$56,13,0),"")))</f>
        <v/>
      </c>
      <c r="BW58" s="154" t="str">
        <f>IF($V58="初級",VLOOKUP($BE58,参照データ!$C$43:$U$56,14,0),IF($V58="中級",VLOOKUP($BE58,参照データ!$C$43:$U$56,15,0),IF($V58="上級",VLOOKUP($BE58,参照データ!$C$43:$U$56,16,0),"")))</f>
        <v/>
      </c>
      <c r="BX58" s="47" t="str">
        <f t="shared" si="5"/>
        <v/>
      </c>
      <c r="BY58" s="47" t="str">
        <f>IF($W58="初級",VLOOKUP($BE58,参照データ!$C$43:$U$56,17,0),IF($W58="中級",VLOOKUP($BE58,参照データ!$C$43:$U$56,18,0),IF($W58="上級",VLOOKUP($BE58,参照データ!$C$43:$U$56,19,0),"")))</f>
        <v/>
      </c>
      <c r="BZ58" s="686">
        <v>24</v>
      </c>
      <c r="CA58" s="66" t="s">
        <v>270</v>
      </c>
      <c r="CB58" s="136" t="str">
        <f t="shared" si="13"/>
        <v/>
      </c>
      <c r="CC58" s="688" t="str">
        <f t="shared" ref="CC58" si="104">IF(OR($CB58="",$CB59=""),"",IF($CB58&gt;$CB59,$CB58,$CB59))</f>
        <v/>
      </c>
      <c r="CE58" s="53" t="str">
        <f>IF(AND($AZ58&gt;=参照データ!$C$67,$AZ58&lt;=参照データ!$C$65),1,IF(AND($AZ58&gt;=参照データ!$C$70,$AZ58&lt;=参照データ!$C$68),2,IF(AND($AZ58&gt;=参照データ!$C$73,$AZ58&lt;=参照データ!$C$71),3,IF(AND($AZ58&gt;=参照データ!$C$76,$AZ58&lt;=参照データ!$C$74),4,IF(AND($AZ58&gt;=参照データ!$C$79,$AZ58&lt;=参照データ!$C$77),5,IF(AND($AZ58&gt;0,$AZ58&lt;=参照データ!$C$80),6,""))))))</f>
        <v/>
      </c>
      <c r="CF58" s="141" t="str">
        <f>IF($Z58="○",(VLOOKUP($CE58,参照データ!$D$65:$J$82,2,0)),"")</f>
        <v/>
      </c>
      <c r="CG58" s="71" t="str">
        <f t="shared" si="14"/>
        <v/>
      </c>
      <c r="CH58" s="70" t="str">
        <f>IF($AB58="○",(VLOOKUP($CE58,参照データ!$D$65:$J$82,3,0)),"")</f>
        <v/>
      </c>
      <c r="CI58" s="71" t="str">
        <f t="shared" si="15"/>
        <v/>
      </c>
      <c r="CJ58" s="70" t="str">
        <f>IF($AD58="○",(VLOOKUP($CE58,参照データ!$D$65:$J$82,4,0)),"")</f>
        <v/>
      </c>
      <c r="CK58" s="71" t="str">
        <f t="shared" si="16"/>
        <v/>
      </c>
      <c r="CL58" s="70" t="str">
        <f>IF($AF58="○",(VLOOKUP($CE58,参照データ!$D$65:$J$82,5,0)),"")</f>
        <v/>
      </c>
      <c r="CM58" s="71" t="str">
        <f t="shared" si="6"/>
        <v/>
      </c>
      <c r="CN58" s="70" t="str">
        <f>IF($AH58="○",(VLOOKUP($CE58,参照データ!$D$65:$J$82,6,0)),"")</f>
        <v/>
      </c>
      <c r="CO58" s="71" t="str">
        <f t="shared" si="17"/>
        <v/>
      </c>
      <c r="CP58" s="33" t="str">
        <f t="shared" si="18"/>
        <v/>
      </c>
      <c r="CQ58" s="32" t="str">
        <f t="shared" si="19"/>
        <v/>
      </c>
      <c r="CR58" s="71" t="str">
        <f t="shared" si="20"/>
        <v/>
      </c>
      <c r="CS58" s="681">
        <v>24</v>
      </c>
      <c r="CT58" s="79" t="s">
        <v>131</v>
      </c>
      <c r="CU58" s="80" t="str">
        <f t="shared" si="21"/>
        <v/>
      </c>
      <c r="CV58" s="683" t="e">
        <f>IF($CU58&gt;$CU59,VLOOKUP($CU58,参照データ!$D$65:$J$82,7,0),VLOOKUP($CU59,参照データ!$D$65:$J$82,7,0))</f>
        <v>#N/A</v>
      </c>
      <c r="CW58" s="308" t="str">
        <f>IFERROR(VLOOKUP($CV58,参照データ!$J$65:$M$82,4,0),"")</f>
        <v/>
      </c>
      <c r="CX58" s="70"/>
      <c r="CY58" s="172" t="str">
        <f t="shared" si="22"/>
        <v/>
      </c>
      <c r="DA58" s="32"/>
      <c r="DB58" s="161" t="str">
        <f t="shared" si="23"/>
        <v/>
      </c>
      <c r="DC58" s="743">
        <v>24</v>
      </c>
      <c r="DD58" s="166" t="s">
        <v>131</v>
      </c>
      <c r="DE58" s="167" t="str">
        <f t="shared" si="44"/>
        <v/>
      </c>
      <c r="DF58" s="741" t="str">
        <f>IF(OR(DE58="",DE59=""),"",IF(DE58&gt;DE59,DE58,DE59))</f>
        <v/>
      </c>
      <c r="DG58" t="str">
        <f>IF($DH58="","",DATEDIF($AZ58,参照データ!$D$19,"Y"))</f>
        <v/>
      </c>
      <c r="DH58" s="253" t="str">
        <f>IFERROR(IF($BA58="男子",VLOOKUP($DO58,参照データ!$D$88:$E$117,2,0),$DO58),0)</f>
        <v/>
      </c>
      <c r="DI58" s="84" t="str">
        <f>IF($Z58="選手権",(VLOOKUP($DH58,参照データ!$D$88:$K$117,3,0)),"")</f>
        <v/>
      </c>
      <c r="DJ58" s="85" t="str">
        <f t="shared" si="83"/>
        <v/>
      </c>
      <c r="DK58" s="84" t="str">
        <f>IF($AB58="選手権",(VLOOKUP($DH58,参照データ!$D$88:$K$117,4,0)),"")</f>
        <v/>
      </c>
      <c r="DL58" s="85" t="str">
        <f t="shared" si="84"/>
        <v/>
      </c>
      <c r="DM58" s="84" t="str">
        <f>IF($AD58="選手権",(VLOOKUP($DH58,参照データ!$D$88:$K$117,5,0)),"")</f>
        <v/>
      </c>
      <c r="DN58" s="85" t="str">
        <f t="shared" si="85"/>
        <v/>
      </c>
      <c r="DO58" s="53" t="str">
        <f>IF(AND($AZ58&gt;=参照データ!$C$90,$AZ58&lt;=参照データ!$C$88),1,IF(AND($AZ58&gt;=参照データ!$C$93,$AZ58&lt;=参照データ!$C$91),2,IF(AND($AZ58&gt;=参照データ!$C$99,$AZ58&lt;=参照データ!$C$97),3,IF(AND($AZ58&gt;=参照データ!$C$105,$AZ58&lt;=参照データ!$C$103),4,IF(AND($AZ58&gt;=参照データ!$C$111,$AZ58&lt;=参照データ!$C$109),5,IF(AND($AZ58&gt;0,$AZ58&lt;=参照データ!$C$112),6,""))))))</f>
        <v/>
      </c>
      <c r="DP58" s="84" t="str">
        <f>IF($AF58="選手権",(VLOOKUP($DO58,参照データ!$D$88:$K$117,6,0)),"")</f>
        <v/>
      </c>
      <c r="DQ58" s="85" t="str">
        <f t="shared" si="10"/>
        <v/>
      </c>
      <c r="DR58" s="84" t="str">
        <f>IF($AH58="選手権",(VLOOKUP($DO58,参照データ!$D$88:$K$117,7,0)),"")</f>
        <v/>
      </c>
      <c r="DS58" s="85" t="str">
        <f t="shared" si="24"/>
        <v/>
      </c>
      <c r="DT58" s="33" t="str">
        <f t="shared" si="25"/>
        <v/>
      </c>
      <c r="DU58" s="32" t="str">
        <f t="shared" si="26"/>
        <v/>
      </c>
      <c r="DV58" s="85" t="str">
        <f t="shared" si="27"/>
        <v/>
      </c>
      <c r="DW58" s="736">
        <v>24</v>
      </c>
      <c r="DX58" s="93" t="s">
        <v>131</v>
      </c>
      <c r="DY58" s="94" t="str">
        <f t="shared" si="37"/>
        <v/>
      </c>
      <c r="DZ58" s="737" t="e">
        <f>IF($DY58&gt;$DY59,VLOOKUP($DY58,参照データ!$D$88:$K$117,8,0),VLOOKUP($DY59,参照データ!$D$88:$K$117,8,0))</f>
        <v>#N/A</v>
      </c>
      <c r="EA58" s="312" t="str">
        <f>IFERROR(VLOOKUP($DZ58,参照データ!$K$88:$O$117,5,0),"")</f>
        <v/>
      </c>
      <c r="EC58" s="491" t="str">
        <f t="shared" si="28"/>
        <v/>
      </c>
      <c r="EH58" s="35">
        <f>(COUNTIF($J58:$O58,"&lt;&gt;"))*参照データ!$E$3</f>
        <v>0</v>
      </c>
      <c r="EI58" s="219" t="str">
        <f>IF(P58="○",参照データ!$E$5,"")</f>
        <v/>
      </c>
      <c r="EJ58" s="219" t="str">
        <f>IF($Y58="○",参照データ!$E$4,"")</f>
        <v/>
      </c>
      <c r="EK58" s="18">
        <f>(SUM(COUNTIF($R58:$V58,{"入門","初級"}))*参照データ!$E$9)+(SUM(COUNTIF($R58:$V58,{"中級","上級"})*参照データ!$E$10))</f>
        <v>0</v>
      </c>
      <c r="EL58" s="18">
        <f>IFERROR(VLOOKUP($W58,参照データ!$D$9:$J$11,7,0),0)</f>
        <v>0</v>
      </c>
      <c r="EM58" s="18">
        <f>((COUNTIF($Z58:$AH58,"○"))*参照データ!$E$12)</f>
        <v>0</v>
      </c>
      <c r="EN58" s="18" t="str">
        <f>(IF($AJ58="○",参照データ!$J$12,""))</f>
        <v/>
      </c>
      <c r="EQ58" s="18">
        <f>((COUNTIF($Z58:$AH58,"選手権"))*参照データ!$E$13)</f>
        <v>0</v>
      </c>
      <c r="ER58" s="18" t="str">
        <f>(IF($AJ58="選手権",参照データ!$J$13,""))</f>
        <v/>
      </c>
      <c r="ES58" s="18">
        <f>(COUNTIF($AQ58:$AR58,"&lt;&gt;"))*参照データ!$H$3</f>
        <v>0</v>
      </c>
      <c r="ET58" s="18"/>
      <c r="EU58" s="18" t="str">
        <f>IF(AV58&lt;&gt;"",参照データ!$H$15,"")</f>
        <v/>
      </c>
      <c r="EV58" s="98" cm="1">
        <f t="array" ref="EV58">SUM(IF(ISERROR(EH58:EU58),0,(EH58:EU58)))</f>
        <v>0</v>
      </c>
      <c r="EW58" s="18"/>
      <c r="EX58" s="18">
        <f t="shared" si="86"/>
        <v>0</v>
      </c>
      <c r="EY58" s="18">
        <f t="shared" si="29"/>
        <v>0</v>
      </c>
      <c r="EZ58" s="18">
        <f t="shared" si="38"/>
        <v>0</v>
      </c>
      <c r="FA58" s="18">
        <f t="shared" si="30"/>
        <v>0</v>
      </c>
      <c r="FB58" s="18">
        <f t="shared" si="31"/>
        <v>0</v>
      </c>
      <c r="FC58" s="18">
        <f t="shared" si="32"/>
        <v>0</v>
      </c>
      <c r="FD58" s="18">
        <f t="shared" si="12"/>
        <v>0</v>
      </c>
      <c r="FE58" t="str">
        <f t="shared" si="33"/>
        <v/>
      </c>
    </row>
    <row r="59" spans="1:161" ht="18.75" customHeight="1" x14ac:dyDescent="0.2">
      <c r="A59">
        <v>48</v>
      </c>
      <c r="B59" s="14" t="str">
        <f>IF(D59="","",IF(D59="重複","",COUNTIF(B$12:$B58,"&gt;0")+1))</f>
        <v/>
      </c>
      <c r="C59" s="464"/>
      <c r="D59" s="177"/>
      <c r="E59" s="177"/>
      <c r="F59" s="31"/>
      <c r="G59" s="41"/>
      <c r="H59" s="351">
        <f t="shared" si="34"/>
        <v>0</v>
      </c>
      <c r="I59" s="193" t="str">
        <f>IF($AZ59=0,"",DATEDIF($AZ59,参照データ!$D$16,"Y"))</f>
        <v/>
      </c>
      <c r="J59" s="36"/>
      <c r="K59" s="36"/>
      <c r="L59" s="36"/>
      <c r="M59" s="36"/>
      <c r="N59" s="36"/>
      <c r="O59" s="42"/>
      <c r="P59" s="345"/>
      <c r="Q59" s="345"/>
      <c r="R59" s="43"/>
      <c r="S59" s="244"/>
      <c r="T59" s="244"/>
      <c r="U59" s="244"/>
      <c r="V59" s="245"/>
      <c r="W59" s="248"/>
      <c r="X59" s="250"/>
      <c r="Y59" s="345"/>
      <c r="Z59" s="388"/>
      <c r="AA59" s="346" t="str">
        <f>IF($Z59="○",VLOOKUP($CE59,参照データ!$D$65:$M$82,9,0),IF($Z59="選手権",VLOOKUP($DH59,参照データ!$D$88:$O$117,10,0),""))</f>
        <v/>
      </c>
      <c r="AB59" s="388"/>
      <c r="AC59" s="346" t="str">
        <f>IF($AB59="○",VLOOKUP($CE59,参照データ!$D$65:$M$82,10,0),IF($AB59="選手権",VLOOKUP($DH59,参照データ!$D$88:$O$117,11,0),""))</f>
        <v/>
      </c>
      <c r="AD59" s="388"/>
      <c r="AE59" s="346" t="str">
        <f>IF($AD59="○",VLOOKUP($CE59,参照データ!$D$65:$M$82,10,0),IF($AD59="選手権",VLOOKUP($DH59,参照データ!$D$88:$O$117,11,0),""))</f>
        <v/>
      </c>
      <c r="AF59" s="388"/>
      <c r="AG59" s="346" t="str">
        <f>IF($AF59="○",VLOOKUP($CE59,参照データ!$D$65:$M$82,10,0),IF($AF59="選手権",VLOOKUP($DO59,参照データ!$D$88:$O$117,12,0),""))</f>
        <v/>
      </c>
      <c r="AH59" s="388"/>
      <c r="AI59" s="346" t="str">
        <f>IF($AH59="○",VLOOKUP($CE59,参照データ!$D$65:$M$82,10,0),IF($AH59="選手権",VLOOKUP($DO59,参照データ!$D$88:$O$117,12,0),""))</f>
        <v/>
      </c>
      <c r="AJ59" s="388"/>
      <c r="AK59" s="511"/>
      <c r="AL59" s="346" t="str">
        <f t="shared" si="80"/>
        <v/>
      </c>
      <c r="AM59" s="392"/>
      <c r="AN59" s="391"/>
      <c r="AO59" s="391"/>
      <c r="AP59" s="447"/>
      <c r="AQ59" s="321"/>
      <c r="AR59" s="481"/>
      <c r="AS59" s="393"/>
      <c r="AT59" s="483"/>
      <c r="AU59" s="393"/>
      <c r="AV59" s="529"/>
      <c r="AW59" s="483"/>
      <c r="AZ59">
        <f t="shared" si="50"/>
        <v>0</v>
      </c>
      <c r="BA59" t="str">
        <f t="shared" si="35"/>
        <v/>
      </c>
      <c r="BB59" s="132"/>
      <c r="BD59" s="513" t="str">
        <f t="shared" si="81"/>
        <v/>
      </c>
      <c r="BE59" s="53" t="str">
        <f>IF($AZ59=0,"",IF(AND($I59&gt;=6,$I59&lt;=19),VLOOKUP($I59,参照データ!$B$24:$C$37,2,0),IF($I59&lt;6,6,19)))</f>
        <v/>
      </c>
      <c r="BF59" s="155" t="str">
        <f>IF($J59="○",VLOOKUP($BE59,参照データ!$C$24:$I$37,2,0),"")</f>
        <v/>
      </c>
      <c r="BG59" s="146" t="str">
        <f>IF($K59="○",VLOOKUP($BE59,参照データ!$C$24:$I$37,3,0),"")</f>
        <v/>
      </c>
      <c r="BH59" s="146" t="str">
        <f>IF($L59="○",VLOOKUP($BE59,参照データ!$C$24:$I$37,4,0),"")</f>
        <v/>
      </c>
      <c r="BI59" s="146" t="str">
        <f>IF($M59="○",VLOOKUP($BE59,参照データ!$C$24:$I$37,5,0),"")</f>
        <v/>
      </c>
      <c r="BJ59" s="146" t="str">
        <f>IF($N59="20日",VLOOKUP($BE59,参照データ!$C$24:$I$37,6,0),"")</f>
        <v/>
      </c>
      <c r="BK59" s="156" t="str">
        <f>IF($O59="20日",VLOOKUP($BE59,参照データ!$C$24:$I$37,7,0),"")</f>
        <v/>
      </c>
      <c r="BL59" s="155" t="str">
        <f>IF($J59="21日",VLOOKUP($BE59,参照データ!$C$24:$I$37,2,0),"")</f>
        <v/>
      </c>
      <c r="BM59" s="146" t="str">
        <f>IF($K59="21日",VLOOKUP($BE59,参照データ!$C$24:$I$37,3,0),"")</f>
        <v/>
      </c>
      <c r="BN59" s="146" t="str">
        <f>IF($L59="21日",VLOOKUP($BE59,参照データ!$C$24:$I$37,4,0),"")</f>
        <v/>
      </c>
      <c r="BO59" s="146" t="str">
        <f>IF($M59="21日",VLOOKUP($BE59,参照データ!$C$24:$I$37,5,0),"")</f>
        <v/>
      </c>
      <c r="BP59" s="146" t="str">
        <f>IF($N59="21日",VLOOKUP($BE59,参照データ!$C$24:$I$37,6,0),"")</f>
        <v/>
      </c>
      <c r="BQ59" s="156" t="str">
        <f>IF($O59="21日",VLOOKUP($BE59,参照データ!$C$24:$I$37,7,0),"")</f>
        <v/>
      </c>
      <c r="BR59" s="223" t="str">
        <f t="shared" si="42"/>
        <v/>
      </c>
      <c r="BS59" s="154" t="str">
        <f>IF($R59="入門",VLOOKUP($BE59,参照データ!$C$43:$U$56,2,0),IF($R59="初級",VLOOKUP($BE59,参照データ!$C$43:$U$56,3,0),IF($R59="中級",VLOOKUP($BE59,参照データ!$C$43:$U$56,4,0),IF($R59="上級",VLOOKUP($BE59,参照データ!$C$43:$U$56,5,0),""))))</f>
        <v/>
      </c>
      <c r="BT59" s="154" t="str">
        <f>IF($S59="初級",VLOOKUP($BE59,参照データ!$C$43:$U$56,6,0),IF($S59="中級",VLOOKUP($BE59,参照データ!$C$43:$U$56,7,0),IF($S59="上級",VLOOKUP($BE59,参照データ!$C$43:$U$56,8,0),"")))</f>
        <v/>
      </c>
      <c r="BU59" s="154" t="str">
        <f>IF($T59="初級",VLOOKUP($BE59,参照データ!$C$43:$U$56,9,0),IF($T59="上級",VLOOKUP($BE59,参照データ!$C$43:$U$56,10,0),""))</f>
        <v/>
      </c>
      <c r="BV59" s="154" t="str">
        <f>IF($U59="初級",VLOOKUP($BE59,参照データ!$C$43:$U$56,11,0),IF($U59="中級",VLOOKUP($BE59,参照データ!$C$43:$U$56,12,0),IF($U59="上級",VLOOKUP($BE59,参照データ!$C$43:$U$56,13,0),"")))</f>
        <v/>
      </c>
      <c r="BW59" s="154" t="str">
        <f>IF($V59="初級",VLOOKUP($BE59,参照データ!$C$43:$U$56,14,0),IF($V59="中級",VLOOKUP($BE59,参照データ!$C$43:$U$56,15,0),IF($V59="上級",VLOOKUP($BE59,参照データ!$C$43:$U$56,16,0),"")))</f>
        <v/>
      </c>
      <c r="BX59" s="47" t="str">
        <f t="shared" si="5"/>
        <v/>
      </c>
      <c r="BY59" s="47" t="str">
        <f>IF($W59="初級",VLOOKUP($BE59,参照データ!$C$43:$U$56,17,0),IF($W59="中級",VLOOKUP($BE59,参照データ!$C$43:$U$56,18,0),IF($W59="上級",VLOOKUP($BE59,参照データ!$C$43:$U$56,19,0),"")))</f>
        <v/>
      </c>
      <c r="BZ59" s="687"/>
      <c r="CA59" s="65" t="s">
        <v>271</v>
      </c>
      <c r="CB59" s="135" t="str">
        <f t="shared" si="13"/>
        <v/>
      </c>
      <c r="CC59" s="689"/>
      <c r="CE59" s="53" t="str">
        <f>IF(AND($AZ59&gt;=参照データ!$C$67,$AZ59&lt;=参照データ!$C$65),1,IF(AND($AZ59&gt;=参照データ!$C$70,$AZ59&lt;=参照データ!$C$68),2,IF(AND($AZ59&gt;=参照データ!$C$73,$AZ59&lt;=参照データ!$C$71),3,IF(AND($AZ59&gt;=参照データ!$C$76,$AZ59&lt;=参照データ!$C$74),4,IF(AND($AZ59&gt;=参照データ!$C$79,$AZ59&lt;=参照データ!$C$77),5,IF(AND($AZ59&gt;0,$AZ59&lt;=参照データ!$C$80),6,""))))))</f>
        <v/>
      </c>
      <c r="CF59" s="141" t="str">
        <f>IF($Z59="○",(VLOOKUP($CE59,参照データ!$D$65:$J$82,2,0)),"")</f>
        <v/>
      </c>
      <c r="CG59" s="71" t="str">
        <f t="shared" si="14"/>
        <v/>
      </c>
      <c r="CH59" s="70" t="str">
        <f>IF($AB59="○",(VLOOKUP($CE59,参照データ!$D$65:$J$82,3,0)),"")</f>
        <v/>
      </c>
      <c r="CI59" s="71" t="str">
        <f t="shared" si="15"/>
        <v/>
      </c>
      <c r="CJ59" s="70" t="str">
        <f>IF($AD59="○",(VLOOKUP($CE59,参照データ!$D$65:$J$82,4,0)),"")</f>
        <v/>
      </c>
      <c r="CK59" s="71" t="str">
        <f t="shared" si="16"/>
        <v/>
      </c>
      <c r="CL59" s="70" t="str">
        <f>IF($AF59="○",(VLOOKUP($CE59,参照データ!$D$65:$J$82,5,0)),"")</f>
        <v/>
      </c>
      <c r="CM59" s="71" t="str">
        <f t="shared" si="6"/>
        <v/>
      </c>
      <c r="CN59" s="70" t="str">
        <f>IF($AH59="○",(VLOOKUP($CE59,参照データ!$D$65:$J$82,6,0)),"")</f>
        <v/>
      </c>
      <c r="CO59" s="71" t="str">
        <f t="shared" si="17"/>
        <v/>
      </c>
      <c r="CP59" s="33" t="str">
        <f t="shared" si="18"/>
        <v/>
      </c>
      <c r="CQ59" s="32" t="str">
        <f t="shared" si="19"/>
        <v/>
      </c>
      <c r="CR59" s="71" t="str">
        <f t="shared" si="20"/>
        <v/>
      </c>
      <c r="CS59" s="682"/>
      <c r="CT59" s="77" t="s">
        <v>132</v>
      </c>
      <c r="CU59" s="78" t="str">
        <f t="shared" si="21"/>
        <v/>
      </c>
      <c r="CV59" s="684"/>
      <c r="CW59" s="308" t="str">
        <f t="shared" ref="CW59" si="105">$CW58</f>
        <v/>
      </c>
      <c r="CX59" s="70"/>
      <c r="CY59" s="172" t="str">
        <f t="shared" si="22"/>
        <v/>
      </c>
      <c r="DA59" s="32"/>
      <c r="DB59" s="161" t="str">
        <f t="shared" si="23"/>
        <v/>
      </c>
      <c r="DC59" s="744"/>
      <c r="DD59" s="164" t="s">
        <v>132</v>
      </c>
      <c r="DE59" s="165" t="str">
        <f t="shared" si="44"/>
        <v/>
      </c>
      <c r="DF59" s="742"/>
      <c r="DG59" t="str">
        <f>IF($DH59="","",DATEDIF($AZ59,参照データ!$D$19,"Y"))</f>
        <v/>
      </c>
      <c r="DH59" s="253" t="str">
        <f>IFERROR(IF($BA59="男子",VLOOKUP($DO59,参照データ!$D$88:$E$117,2,0),$DO59),0)</f>
        <v/>
      </c>
      <c r="DI59" s="84" t="str">
        <f>IF($Z59="選手権",(VLOOKUP($DH59,参照データ!$D$88:$K$117,3,0)),"")</f>
        <v/>
      </c>
      <c r="DJ59" s="85" t="str">
        <f t="shared" si="83"/>
        <v/>
      </c>
      <c r="DK59" s="84" t="str">
        <f>IF($AB59="選手権",(VLOOKUP($DH59,参照データ!$D$88:$K$117,4,0)),"")</f>
        <v/>
      </c>
      <c r="DL59" s="85" t="str">
        <f t="shared" si="84"/>
        <v/>
      </c>
      <c r="DM59" s="84" t="str">
        <f>IF($AD59="選手権",(VLOOKUP($DH59,参照データ!$D$88:$K$117,5,0)),"")</f>
        <v/>
      </c>
      <c r="DN59" s="85" t="str">
        <f t="shared" si="85"/>
        <v/>
      </c>
      <c r="DO59" s="53" t="str">
        <f>IF(AND($AZ59&gt;=参照データ!$C$90,$AZ59&lt;=参照データ!$C$88),1,IF(AND($AZ59&gt;=参照データ!$C$93,$AZ59&lt;=参照データ!$C$91),2,IF(AND($AZ59&gt;=参照データ!$C$99,$AZ59&lt;=参照データ!$C$97),3,IF(AND($AZ59&gt;=参照データ!$C$105,$AZ59&lt;=参照データ!$C$103),4,IF(AND($AZ59&gt;=参照データ!$C$111,$AZ59&lt;=参照データ!$C$109),5,IF(AND($AZ59&gt;0,$AZ59&lt;=参照データ!$C$112),6,""))))))</f>
        <v/>
      </c>
      <c r="DP59" s="84" t="str">
        <f>IF($AF59="選手権",(VLOOKUP($DO59,参照データ!$D$88:$K$117,6,0)),"")</f>
        <v/>
      </c>
      <c r="DQ59" s="85" t="str">
        <f t="shared" si="10"/>
        <v/>
      </c>
      <c r="DR59" s="84" t="str">
        <f>IF($AH59="選手権",(VLOOKUP($DO59,参照データ!$D$88:$K$117,7,0)),"")</f>
        <v/>
      </c>
      <c r="DS59" s="85" t="str">
        <f t="shared" si="24"/>
        <v/>
      </c>
      <c r="DT59" s="33" t="str">
        <f t="shared" si="25"/>
        <v/>
      </c>
      <c r="DU59" s="32" t="str">
        <f t="shared" si="26"/>
        <v/>
      </c>
      <c r="DV59" s="85" t="str">
        <f t="shared" si="27"/>
        <v/>
      </c>
      <c r="DW59" s="733"/>
      <c r="DX59" s="91" t="s">
        <v>132</v>
      </c>
      <c r="DY59" s="92" t="str">
        <f t="shared" si="37"/>
        <v/>
      </c>
      <c r="DZ59" s="735"/>
      <c r="EA59" s="312" t="str">
        <f t="shared" ref="EA59" si="106">$EA58</f>
        <v/>
      </c>
      <c r="EC59" s="491" t="str">
        <f t="shared" si="28"/>
        <v/>
      </c>
      <c r="EH59" s="35">
        <f>(COUNTIF($J59:$O59,"&lt;&gt;"))*参照データ!$E$3</f>
        <v>0</v>
      </c>
      <c r="EI59" s="219" t="str">
        <f>IF(P59="○",参照データ!$E$5,"")</f>
        <v/>
      </c>
      <c r="EJ59" s="219" t="str">
        <f>IF($Y59="○",参照データ!$E$4,"")</f>
        <v/>
      </c>
      <c r="EK59" s="18">
        <f>(SUM(COUNTIF($R59:$V59,{"入門","初級"}))*参照データ!$E$9)+(SUM(COUNTIF($R59:$V59,{"中級","上級"})*参照データ!$E$10))</f>
        <v>0</v>
      </c>
      <c r="EL59" s="18">
        <f>IFERROR(VLOOKUP($W59,参照データ!$D$9:$J$11,7,0),0)</f>
        <v>0</v>
      </c>
      <c r="EM59" s="18">
        <f>((COUNTIF($Z59:$AH59,"○"))*参照データ!$E$12)</f>
        <v>0</v>
      </c>
      <c r="EN59" s="18" t="str">
        <f>(IF($AJ59="○",参照データ!$J$12,""))</f>
        <v/>
      </c>
      <c r="EQ59" s="18">
        <f>((COUNTIF($Z59:$AH59,"選手権"))*参照データ!$E$13)</f>
        <v>0</v>
      </c>
      <c r="ER59" s="18" t="str">
        <f>(IF($AJ59="選手権",参照データ!$J$13,""))</f>
        <v/>
      </c>
      <c r="ES59" s="18">
        <f>(COUNTIF($AQ59:$AR59,"&lt;&gt;"))*参照データ!$H$3</f>
        <v>0</v>
      </c>
      <c r="ET59" s="18"/>
      <c r="EU59" s="18" t="str">
        <f>IF(AV59&lt;&gt;"",参照データ!$H$15,"")</f>
        <v/>
      </c>
      <c r="EV59" s="98" cm="1">
        <f t="array" ref="EV59">SUM(IF(ISERROR(EH59:EU59),0,(EH59:EU59)))</f>
        <v>0</v>
      </c>
      <c r="EW59" s="18"/>
      <c r="EX59" s="18">
        <f t="shared" si="86"/>
        <v>0</v>
      </c>
      <c r="EY59" s="18">
        <f t="shared" si="29"/>
        <v>0</v>
      </c>
      <c r="EZ59" s="18">
        <f t="shared" si="38"/>
        <v>0</v>
      </c>
      <c r="FA59" s="18">
        <f t="shared" si="30"/>
        <v>0</v>
      </c>
      <c r="FB59" s="18">
        <f t="shared" si="31"/>
        <v>0</v>
      </c>
      <c r="FC59" s="18">
        <f t="shared" si="32"/>
        <v>0</v>
      </c>
      <c r="FD59" s="18">
        <f t="shared" si="12"/>
        <v>0</v>
      </c>
      <c r="FE59" t="str">
        <f t="shared" si="33"/>
        <v/>
      </c>
    </row>
    <row r="60" spans="1:161" ht="18.75" customHeight="1" x14ac:dyDescent="0.2">
      <c r="A60">
        <v>49</v>
      </c>
      <c r="B60" s="14" t="str">
        <f>IF(D60="","",IF(D60="重複","",COUNTIF(B$12:$B59,"&gt;0")+1))</f>
        <v/>
      </c>
      <c r="C60" s="464"/>
      <c r="D60" s="177"/>
      <c r="E60" s="177"/>
      <c r="F60" s="31"/>
      <c r="G60" s="41"/>
      <c r="H60" s="351">
        <f t="shared" si="34"/>
        <v>0</v>
      </c>
      <c r="I60" s="193" t="str">
        <f>IF($AZ60=0,"",DATEDIF($AZ60,参照データ!$D$16,"Y"))</f>
        <v/>
      </c>
      <c r="J60" s="36"/>
      <c r="K60" s="36"/>
      <c r="L60" s="36"/>
      <c r="M60" s="36"/>
      <c r="N60" s="36"/>
      <c r="O60" s="42"/>
      <c r="P60" s="345"/>
      <c r="Q60" s="345"/>
      <c r="R60" s="43"/>
      <c r="S60" s="244"/>
      <c r="T60" s="244"/>
      <c r="U60" s="244"/>
      <c r="V60" s="245"/>
      <c r="W60" s="248"/>
      <c r="X60" s="250"/>
      <c r="Y60" s="345"/>
      <c r="Z60" s="388"/>
      <c r="AA60" s="346" t="str">
        <f>IF($Z60="○",VLOOKUP($CE60,参照データ!$D$65:$M$82,9,0),IF($Z60="選手権",VLOOKUP($DH60,参照データ!$D$88:$O$117,10,0),""))</f>
        <v/>
      </c>
      <c r="AB60" s="388"/>
      <c r="AC60" s="346" t="str">
        <f>IF($AB60="○",VLOOKUP($CE60,参照データ!$D$65:$M$82,10,0),IF($AB60="選手権",VLOOKUP($DH60,参照データ!$D$88:$O$117,11,0),""))</f>
        <v/>
      </c>
      <c r="AD60" s="388"/>
      <c r="AE60" s="346" t="str">
        <f>IF($AD60="○",VLOOKUP($CE60,参照データ!$D$65:$M$82,10,0),IF($AD60="選手権",VLOOKUP($DH60,参照データ!$D$88:$O$117,11,0),""))</f>
        <v/>
      </c>
      <c r="AF60" s="388"/>
      <c r="AG60" s="346" t="str">
        <f>IF($AF60="○",VLOOKUP($CE60,参照データ!$D$65:$M$82,10,0),IF($AF60="選手権",VLOOKUP($DO60,参照データ!$D$88:$O$117,12,0),""))</f>
        <v/>
      </c>
      <c r="AH60" s="388"/>
      <c r="AI60" s="346" t="str">
        <f>IF($AH60="○",VLOOKUP($CE60,参照データ!$D$65:$M$82,10,0),IF($AH60="選手権",VLOOKUP($DO60,参照データ!$D$88:$O$117,12,0),""))</f>
        <v/>
      </c>
      <c r="AJ60" s="388"/>
      <c r="AK60" s="511"/>
      <c r="AL60" s="346" t="str">
        <f t="shared" si="80"/>
        <v/>
      </c>
      <c r="AM60" s="392"/>
      <c r="AN60" s="391"/>
      <c r="AO60" s="391"/>
      <c r="AP60" s="447"/>
      <c r="AQ60" s="321"/>
      <c r="AR60" s="481"/>
      <c r="AS60" s="393"/>
      <c r="AT60" s="483"/>
      <c r="AU60" s="393"/>
      <c r="AV60" s="529"/>
      <c r="AW60" s="483"/>
      <c r="AZ60">
        <f t="shared" si="50"/>
        <v>0</v>
      </c>
      <c r="BA60" t="str">
        <f t="shared" si="35"/>
        <v/>
      </c>
      <c r="BB60" s="132"/>
      <c r="BD60" s="513" t="str">
        <f t="shared" si="81"/>
        <v/>
      </c>
      <c r="BE60" s="53" t="str">
        <f>IF($AZ60=0,"",IF(AND($I60&gt;=6,$I60&lt;=19),VLOOKUP($I60,参照データ!$B$24:$C$37,2,0),IF($I60&lt;6,6,19)))</f>
        <v/>
      </c>
      <c r="BF60" s="155" t="str">
        <f>IF($J60="○",VLOOKUP($BE60,参照データ!$C$24:$I$37,2,0),"")</f>
        <v/>
      </c>
      <c r="BG60" s="146" t="str">
        <f>IF($K60="○",VLOOKUP($BE60,参照データ!$C$24:$I$37,3,0),"")</f>
        <v/>
      </c>
      <c r="BH60" s="146" t="str">
        <f>IF($L60="○",VLOOKUP($BE60,参照データ!$C$24:$I$37,4,0),"")</f>
        <v/>
      </c>
      <c r="BI60" s="146" t="str">
        <f>IF($M60="○",VLOOKUP($BE60,参照データ!$C$24:$I$37,5,0),"")</f>
        <v/>
      </c>
      <c r="BJ60" s="146" t="str">
        <f>IF($N60="20日",VLOOKUP($BE60,参照データ!$C$24:$I$37,6,0),"")</f>
        <v/>
      </c>
      <c r="BK60" s="156" t="str">
        <f>IF($O60="20日",VLOOKUP($BE60,参照データ!$C$24:$I$37,7,0),"")</f>
        <v/>
      </c>
      <c r="BL60" s="155" t="str">
        <f>IF($J60="21日",VLOOKUP($BE60,参照データ!$C$24:$I$37,2,0),"")</f>
        <v/>
      </c>
      <c r="BM60" s="146" t="str">
        <f>IF($K60="21日",VLOOKUP($BE60,参照データ!$C$24:$I$37,3,0),"")</f>
        <v/>
      </c>
      <c r="BN60" s="146" t="str">
        <f>IF($L60="21日",VLOOKUP($BE60,参照データ!$C$24:$I$37,4,0),"")</f>
        <v/>
      </c>
      <c r="BO60" s="146" t="str">
        <f>IF($M60="21日",VLOOKUP($BE60,参照データ!$C$24:$I$37,5,0),"")</f>
        <v/>
      </c>
      <c r="BP60" s="146" t="str">
        <f>IF($N60="21日",VLOOKUP($BE60,参照データ!$C$24:$I$37,6,0),"")</f>
        <v/>
      </c>
      <c r="BQ60" s="156" t="str">
        <f>IF($O60="21日",VLOOKUP($BE60,参照データ!$C$24:$I$37,7,0),"")</f>
        <v/>
      </c>
      <c r="BR60" s="223" t="str">
        <f t="shared" si="42"/>
        <v/>
      </c>
      <c r="BS60" s="154" t="str">
        <f>IF($R60="入門",VLOOKUP($BE60,参照データ!$C$43:$U$56,2,0),IF($R60="初級",VLOOKUP($BE60,参照データ!$C$43:$U$56,3,0),IF($R60="中級",VLOOKUP($BE60,参照データ!$C$43:$U$56,4,0),IF($R60="上級",VLOOKUP($BE60,参照データ!$C$43:$U$56,5,0),""))))</f>
        <v/>
      </c>
      <c r="BT60" s="154" t="str">
        <f>IF($S60="初級",VLOOKUP($BE60,参照データ!$C$43:$U$56,6,0),IF($S60="中級",VLOOKUP($BE60,参照データ!$C$43:$U$56,7,0),IF($S60="上級",VLOOKUP($BE60,参照データ!$C$43:$U$56,8,0),"")))</f>
        <v/>
      </c>
      <c r="BU60" s="154" t="str">
        <f>IF($T60="初級",VLOOKUP($BE60,参照データ!$C$43:$U$56,9,0),IF($T60="上級",VLOOKUP($BE60,参照データ!$C$43:$U$56,10,0),""))</f>
        <v/>
      </c>
      <c r="BV60" s="154" t="str">
        <f>IF($U60="初級",VLOOKUP($BE60,参照データ!$C$43:$U$56,11,0),IF($U60="中級",VLOOKUP($BE60,参照データ!$C$43:$U$56,12,0),IF($U60="上級",VLOOKUP($BE60,参照データ!$C$43:$U$56,13,0),"")))</f>
        <v/>
      </c>
      <c r="BW60" s="154" t="str">
        <f>IF($V60="初級",VLOOKUP($BE60,参照データ!$C$43:$U$56,14,0),IF($V60="中級",VLOOKUP($BE60,参照データ!$C$43:$U$56,15,0),IF($V60="上級",VLOOKUP($BE60,参照データ!$C$43:$U$56,16,0),"")))</f>
        <v/>
      </c>
      <c r="BX60" s="47" t="str">
        <f t="shared" si="5"/>
        <v/>
      </c>
      <c r="BY60" s="47" t="str">
        <f>IF($W60="初級",VLOOKUP($BE60,参照データ!$C$43:$U$56,17,0),IF($W60="中級",VLOOKUP($BE60,参照データ!$C$43:$U$56,18,0),IF($W60="上級",VLOOKUP($BE60,参照データ!$C$43:$U$56,19,0),"")))</f>
        <v/>
      </c>
      <c r="BZ60" s="686">
        <v>25</v>
      </c>
      <c r="CA60" s="66" t="s">
        <v>272</v>
      </c>
      <c r="CB60" s="136" t="str">
        <f t="shared" si="13"/>
        <v/>
      </c>
      <c r="CC60" s="688" t="str">
        <f t="shared" ref="CC60" si="107">IF(OR($CB60="",$CB61=""),"",IF($CB60&gt;$CB61,$CB60,$CB61))</f>
        <v/>
      </c>
      <c r="CE60" s="53" t="str">
        <f>IF(AND($AZ60&gt;=参照データ!$C$67,$AZ60&lt;=参照データ!$C$65),1,IF(AND($AZ60&gt;=参照データ!$C$70,$AZ60&lt;=参照データ!$C$68),2,IF(AND($AZ60&gt;=参照データ!$C$73,$AZ60&lt;=参照データ!$C$71),3,IF(AND($AZ60&gt;=参照データ!$C$76,$AZ60&lt;=参照データ!$C$74),4,IF(AND($AZ60&gt;=参照データ!$C$79,$AZ60&lt;=参照データ!$C$77),5,IF(AND($AZ60&gt;0,$AZ60&lt;=参照データ!$C$80),6,""))))))</f>
        <v/>
      </c>
      <c r="CF60" s="141" t="str">
        <f>IF($Z60="○",(VLOOKUP($CE60,参照データ!$D$65:$J$82,2,0)),"")</f>
        <v/>
      </c>
      <c r="CG60" s="71" t="str">
        <f t="shared" si="14"/>
        <v/>
      </c>
      <c r="CH60" s="70" t="str">
        <f>IF($AB60="○",(VLOOKUP($CE60,参照データ!$D$65:$J$82,3,0)),"")</f>
        <v/>
      </c>
      <c r="CI60" s="71" t="str">
        <f t="shared" si="15"/>
        <v/>
      </c>
      <c r="CJ60" s="70" t="str">
        <f>IF($AD60="○",(VLOOKUP($CE60,参照データ!$D$65:$J$82,4,0)),"")</f>
        <v/>
      </c>
      <c r="CK60" s="71" t="str">
        <f t="shared" si="16"/>
        <v/>
      </c>
      <c r="CL60" s="70" t="str">
        <f>IF($AF60="○",(VLOOKUP($CE60,参照データ!$D$65:$J$82,5,0)),"")</f>
        <v/>
      </c>
      <c r="CM60" s="71" t="str">
        <f t="shared" si="6"/>
        <v/>
      </c>
      <c r="CN60" s="70" t="str">
        <f>IF($AH60="○",(VLOOKUP($CE60,参照データ!$D$65:$J$82,6,0)),"")</f>
        <v/>
      </c>
      <c r="CO60" s="71" t="str">
        <f t="shared" si="17"/>
        <v/>
      </c>
      <c r="CP60" s="33" t="str">
        <f t="shared" si="18"/>
        <v/>
      </c>
      <c r="CQ60" s="32" t="str">
        <f t="shared" si="19"/>
        <v/>
      </c>
      <c r="CR60" s="71" t="str">
        <f t="shared" si="20"/>
        <v/>
      </c>
      <c r="CS60" s="681">
        <v>25</v>
      </c>
      <c r="CT60" s="79" t="s">
        <v>133</v>
      </c>
      <c r="CU60" s="80" t="str">
        <f t="shared" si="21"/>
        <v/>
      </c>
      <c r="CV60" s="683" t="e">
        <f>IF($CU60&gt;$CU61,VLOOKUP($CU60,参照データ!$D$65:$J$82,7,0),VLOOKUP($CU61,参照データ!$D$65:$J$82,7,0))</f>
        <v>#N/A</v>
      </c>
      <c r="CW60" s="308" t="str">
        <f>IFERROR(VLOOKUP($CV60,参照データ!$J$65:$M$82,4,0),"")</f>
        <v/>
      </c>
      <c r="CX60" s="70"/>
      <c r="CY60" s="172" t="str">
        <f t="shared" si="22"/>
        <v/>
      </c>
      <c r="DA60" s="32"/>
      <c r="DB60" s="161" t="str">
        <f t="shared" si="23"/>
        <v/>
      </c>
      <c r="DC60" s="743">
        <v>25</v>
      </c>
      <c r="DD60" s="166" t="s">
        <v>133</v>
      </c>
      <c r="DE60" s="167" t="str">
        <f t="shared" si="44"/>
        <v/>
      </c>
      <c r="DF60" s="741" t="str">
        <f>IF(OR(DE60="",DE61=""),"",IF(DE60&gt;DE61,DE60,DE61))</f>
        <v/>
      </c>
      <c r="DG60" t="str">
        <f>IF($DH60="","",DATEDIF($AZ60,参照データ!$D$19,"Y"))</f>
        <v/>
      </c>
      <c r="DH60" s="253" t="str">
        <f>IFERROR(IF($BA60="男子",VLOOKUP($DO60,参照データ!$D$88:$E$117,2,0),$DO60),0)</f>
        <v/>
      </c>
      <c r="DI60" s="84" t="str">
        <f>IF($Z60="選手権",(VLOOKUP($DH60,参照データ!$D$88:$K$117,3,0)),"")</f>
        <v/>
      </c>
      <c r="DJ60" s="85" t="str">
        <f t="shared" si="83"/>
        <v/>
      </c>
      <c r="DK60" s="84" t="str">
        <f>IF($AB60="選手権",(VLOOKUP($DH60,参照データ!$D$88:$K$117,4,0)),"")</f>
        <v/>
      </c>
      <c r="DL60" s="85" t="str">
        <f t="shared" si="84"/>
        <v/>
      </c>
      <c r="DM60" s="84" t="str">
        <f>IF($AD60="選手権",(VLOOKUP($DH60,参照データ!$D$88:$K$117,5,0)),"")</f>
        <v/>
      </c>
      <c r="DN60" s="85" t="str">
        <f t="shared" si="85"/>
        <v/>
      </c>
      <c r="DO60" s="53" t="str">
        <f>IF(AND($AZ60&gt;=参照データ!$C$90,$AZ60&lt;=参照データ!$C$88),1,IF(AND($AZ60&gt;=参照データ!$C$93,$AZ60&lt;=参照データ!$C$91),2,IF(AND($AZ60&gt;=参照データ!$C$99,$AZ60&lt;=参照データ!$C$97),3,IF(AND($AZ60&gt;=参照データ!$C$105,$AZ60&lt;=参照データ!$C$103),4,IF(AND($AZ60&gt;=参照データ!$C$111,$AZ60&lt;=参照データ!$C$109),5,IF(AND($AZ60&gt;0,$AZ60&lt;=参照データ!$C$112),6,""))))))</f>
        <v/>
      </c>
      <c r="DP60" s="84" t="str">
        <f>IF($AF60="選手権",(VLOOKUP($DO60,参照データ!$D$88:$K$117,6,0)),"")</f>
        <v/>
      </c>
      <c r="DQ60" s="85" t="str">
        <f t="shared" si="10"/>
        <v/>
      </c>
      <c r="DR60" s="84" t="str">
        <f>IF($AH60="選手権",(VLOOKUP($DO60,参照データ!$D$88:$K$117,7,0)),"")</f>
        <v/>
      </c>
      <c r="DS60" s="85" t="str">
        <f t="shared" si="24"/>
        <v/>
      </c>
      <c r="DT60" s="33" t="str">
        <f t="shared" si="25"/>
        <v/>
      </c>
      <c r="DU60" s="32" t="str">
        <f t="shared" si="26"/>
        <v/>
      </c>
      <c r="DV60" s="85" t="str">
        <f t="shared" si="27"/>
        <v/>
      </c>
      <c r="DW60" s="736">
        <v>25</v>
      </c>
      <c r="DX60" s="93" t="s">
        <v>133</v>
      </c>
      <c r="DY60" s="94" t="str">
        <f t="shared" si="37"/>
        <v/>
      </c>
      <c r="DZ60" s="737" t="e">
        <f>IF($DY60&gt;$DY61,VLOOKUP($DY60,参照データ!$D$88:$K$117,8,0),VLOOKUP($DY61,参照データ!$D$88:$K$117,8,0))</f>
        <v>#N/A</v>
      </c>
      <c r="EA60" s="312" t="str">
        <f>IFERROR(VLOOKUP($DZ60,参照データ!$K$88:$O$117,5,0),"")</f>
        <v/>
      </c>
      <c r="EC60" s="491" t="str">
        <f t="shared" si="28"/>
        <v/>
      </c>
      <c r="EH60" s="35">
        <f>(COUNTIF($J60:$O60,"&lt;&gt;"))*参照データ!$E$3</f>
        <v>0</v>
      </c>
      <c r="EI60" s="219" t="str">
        <f>IF(P60="○",参照データ!$E$5,"")</f>
        <v/>
      </c>
      <c r="EJ60" s="219" t="str">
        <f>IF($Y60="○",参照データ!$E$4,"")</f>
        <v/>
      </c>
      <c r="EK60" s="18">
        <f>(SUM(COUNTIF($R60:$V60,{"入門","初級"}))*参照データ!$E$9)+(SUM(COUNTIF($R60:$V60,{"中級","上級"})*参照データ!$E$10))</f>
        <v>0</v>
      </c>
      <c r="EL60" s="18">
        <f>IFERROR(VLOOKUP($W60,参照データ!$D$9:$J$11,7,0),0)</f>
        <v>0</v>
      </c>
      <c r="EM60" s="18">
        <f>((COUNTIF($Z60:$AH60,"○"))*参照データ!$E$12)</f>
        <v>0</v>
      </c>
      <c r="EN60" s="18" t="str">
        <f>(IF($AJ60="○",参照データ!$J$12,""))</f>
        <v/>
      </c>
      <c r="EQ60" s="18">
        <f>((COUNTIF($Z60:$AH60,"選手権"))*参照データ!$E$13)</f>
        <v>0</v>
      </c>
      <c r="ER60" s="18" t="str">
        <f>(IF($AJ60="選手権",参照データ!$J$13,""))</f>
        <v/>
      </c>
      <c r="ES60" s="18">
        <f>(COUNTIF($AQ60:$AR60,"&lt;&gt;"))*参照データ!$H$3</f>
        <v>0</v>
      </c>
      <c r="ET60" s="18"/>
      <c r="EU60" s="18" t="str">
        <f>IF(AV60&lt;&gt;"",参照データ!$H$15,"")</f>
        <v/>
      </c>
      <c r="EV60" s="98" cm="1">
        <f t="array" ref="EV60">SUM(IF(ISERROR(EH60:EU60),0,(EH60:EU60)))</f>
        <v>0</v>
      </c>
      <c r="EW60" s="18"/>
      <c r="EX60" s="18">
        <f t="shared" si="86"/>
        <v>0</v>
      </c>
      <c r="EY60" s="18">
        <f t="shared" si="29"/>
        <v>0</v>
      </c>
      <c r="EZ60" s="18">
        <f t="shared" si="38"/>
        <v>0</v>
      </c>
      <c r="FA60" s="18">
        <f t="shared" si="30"/>
        <v>0</v>
      </c>
      <c r="FB60" s="18">
        <f t="shared" si="31"/>
        <v>0</v>
      </c>
      <c r="FC60" s="18">
        <f t="shared" si="32"/>
        <v>0</v>
      </c>
      <c r="FD60" s="18">
        <f t="shared" si="12"/>
        <v>0</v>
      </c>
      <c r="FE60" t="str">
        <f t="shared" si="33"/>
        <v/>
      </c>
    </row>
    <row r="61" spans="1:161" ht="18.75" customHeight="1" x14ac:dyDescent="0.2">
      <c r="A61">
        <v>50</v>
      </c>
      <c r="B61" s="14" t="str">
        <f>IF(D61="","",IF(D61="重複","",COUNTIF(B$12:$B60,"&gt;0")+1))</f>
        <v/>
      </c>
      <c r="C61" s="464"/>
      <c r="D61" s="177"/>
      <c r="E61" s="177"/>
      <c r="F61" s="31"/>
      <c r="G61" s="41"/>
      <c r="H61" s="351">
        <f t="shared" si="34"/>
        <v>0</v>
      </c>
      <c r="I61" s="193" t="str">
        <f>IF($AZ61=0,"",DATEDIF($AZ61,参照データ!$D$16,"Y"))</f>
        <v/>
      </c>
      <c r="J61" s="36"/>
      <c r="K61" s="36"/>
      <c r="L61" s="36"/>
      <c r="M61" s="36"/>
      <c r="N61" s="36"/>
      <c r="O61" s="42"/>
      <c r="P61" s="345"/>
      <c r="Q61" s="345"/>
      <c r="R61" s="43"/>
      <c r="S61" s="244"/>
      <c r="T61" s="244"/>
      <c r="U61" s="244"/>
      <c r="V61" s="245"/>
      <c r="W61" s="248"/>
      <c r="X61" s="250"/>
      <c r="Y61" s="345"/>
      <c r="Z61" s="388"/>
      <c r="AA61" s="346" t="str">
        <f>IF($Z61="○",VLOOKUP($CE61,参照データ!$D$65:$M$82,9,0),IF($Z61="選手権",VLOOKUP($DH61,参照データ!$D$88:$O$117,10,0),""))</f>
        <v/>
      </c>
      <c r="AB61" s="388"/>
      <c r="AC61" s="346" t="str">
        <f>IF($AB61="○",VLOOKUP($CE61,参照データ!$D$65:$M$82,10,0),IF($AB61="選手権",VLOOKUP($DH61,参照データ!$D$88:$O$117,11,0),""))</f>
        <v/>
      </c>
      <c r="AD61" s="388"/>
      <c r="AE61" s="346" t="str">
        <f>IF($AD61="○",VLOOKUP($CE61,参照データ!$D$65:$M$82,10,0),IF($AD61="選手権",VLOOKUP($DH61,参照データ!$D$88:$O$117,11,0),""))</f>
        <v/>
      </c>
      <c r="AF61" s="388"/>
      <c r="AG61" s="346" t="str">
        <f>IF($AF61="○",VLOOKUP($CE61,参照データ!$D$65:$M$82,10,0),IF($AF61="選手権",VLOOKUP($DO61,参照データ!$D$88:$O$117,12,0),""))</f>
        <v/>
      </c>
      <c r="AH61" s="388"/>
      <c r="AI61" s="346" t="str">
        <f>IF($AH61="○",VLOOKUP($CE61,参照データ!$D$65:$M$82,10,0),IF($AH61="選手権",VLOOKUP($DO61,参照データ!$D$88:$O$117,12,0),""))</f>
        <v/>
      </c>
      <c r="AJ61" s="388"/>
      <c r="AK61" s="511"/>
      <c r="AL61" s="346" t="str">
        <f t="shared" si="80"/>
        <v/>
      </c>
      <c r="AM61" s="392"/>
      <c r="AN61" s="391"/>
      <c r="AO61" s="391"/>
      <c r="AP61" s="447"/>
      <c r="AQ61" s="321"/>
      <c r="AR61" s="481"/>
      <c r="AS61" s="393"/>
      <c r="AT61" s="483"/>
      <c r="AU61" s="393"/>
      <c r="AV61" s="529"/>
      <c r="AW61" s="483"/>
      <c r="AZ61">
        <f t="shared" si="50"/>
        <v>0</v>
      </c>
      <c r="BA61" t="str">
        <f t="shared" si="35"/>
        <v/>
      </c>
      <c r="BB61" s="132"/>
      <c r="BD61" s="513" t="str">
        <f t="shared" si="81"/>
        <v/>
      </c>
      <c r="BE61" s="53" t="str">
        <f>IF($AZ61=0,"",IF(AND($I61&gt;=6,$I61&lt;=19),VLOOKUP($I61,参照データ!$B$24:$C$37,2,0),IF($I61&lt;6,6,19)))</f>
        <v/>
      </c>
      <c r="BF61" s="155" t="str">
        <f>IF($J61="○",VLOOKUP($BE61,参照データ!$C$24:$I$37,2,0),"")</f>
        <v/>
      </c>
      <c r="BG61" s="146" t="str">
        <f>IF($K61="○",VLOOKUP($BE61,参照データ!$C$24:$I$37,3,0),"")</f>
        <v/>
      </c>
      <c r="BH61" s="146" t="str">
        <f>IF($L61="○",VLOOKUP($BE61,参照データ!$C$24:$I$37,4,0),"")</f>
        <v/>
      </c>
      <c r="BI61" s="146" t="str">
        <f>IF($M61="○",VLOOKUP($BE61,参照データ!$C$24:$I$37,5,0),"")</f>
        <v/>
      </c>
      <c r="BJ61" s="146" t="str">
        <f>IF($N61="20日",VLOOKUP($BE61,参照データ!$C$24:$I$37,6,0),"")</f>
        <v/>
      </c>
      <c r="BK61" s="156" t="str">
        <f>IF($O61="20日",VLOOKUP($BE61,参照データ!$C$24:$I$37,7,0),"")</f>
        <v/>
      </c>
      <c r="BL61" s="155" t="str">
        <f>IF($J61="21日",VLOOKUP($BE61,参照データ!$C$24:$I$37,2,0),"")</f>
        <v/>
      </c>
      <c r="BM61" s="146" t="str">
        <f>IF($K61="21日",VLOOKUP($BE61,参照データ!$C$24:$I$37,3,0),"")</f>
        <v/>
      </c>
      <c r="BN61" s="146" t="str">
        <f>IF($L61="21日",VLOOKUP($BE61,参照データ!$C$24:$I$37,4,0),"")</f>
        <v/>
      </c>
      <c r="BO61" s="146" t="str">
        <f>IF($M61="21日",VLOOKUP($BE61,参照データ!$C$24:$I$37,5,0),"")</f>
        <v/>
      </c>
      <c r="BP61" s="146" t="str">
        <f>IF($N61="21日",VLOOKUP($BE61,参照データ!$C$24:$I$37,6,0),"")</f>
        <v/>
      </c>
      <c r="BQ61" s="156" t="str">
        <f>IF($O61="21日",VLOOKUP($BE61,参照データ!$C$24:$I$37,7,0),"")</f>
        <v/>
      </c>
      <c r="BR61" s="223" t="str">
        <f t="shared" si="42"/>
        <v/>
      </c>
      <c r="BS61" s="154" t="str">
        <f>IF($R61="入門",VLOOKUP($BE61,参照データ!$C$43:$U$56,2,0),IF($R61="初級",VLOOKUP($BE61,参照データ!$C$43:$U$56,3,0),IF($R61="中級",VLOOKUP($BE61,参照データ!$C$43:$U$56,4,0),IF($R61="上級",VLOOKUP($BE61,参照データ!$C$43:$U$56,5,0),""))))</f>
        <v/>
      </c>
      <c r="BT61" s="154" t="str">
        <f>IF($S61="初級",VLOOKUP($BE61,参照データ!$C$43:$U$56,6,0),IF($S61="中級",VLOOKUP($BE61,参照データ!$C$43:$U$56,7,0),IF($S61="上級",VLOOKUP($BE61,参照データ!$C$43:$U$56,8,0),"")))</f>
        <v/>
      </c>
      <c r="BU61" s="154" t="str">
        <f>IF($T61="初級",VLOOKUP($BE61,参照データ!$C$43:$U$56,9,0),IF($T61="上級",VLOOKUP($BE61,参照データ!$C$43:$U$56,10,0),""))</f>
        <v/>
      </c>
      <c r="BV61" s="154" t="str">
        <f>IF($U61="初級",VLOOKUP($BE61,参照データ!$C$43:$U$56,11,0),IF($U61="中級",VLOOKUP($BE61,参照データ!$C$43:$U$56,12,0),IF($U61="上級",VLOOKUP($BE61,参照データ!$C$43:$U$56,13,0),"")))</f>
        <v/>
      </c>
      <c r="BW61" s="154" t="str">
        <f>IF($V61="初級",VLOOKUP($BE61,参照データ!$C$43:$U$56,14,0),IF($V61="中級",VLOOKUP($BE61,参照データ!$C$43:$U$56,15,0),IF($V61="上級",VLOOKUP($BE61,参照データ!$C$43:$U$56,16,0),"")))</f>
        <v/>
      </c>
      <c r="BX61" s="47" t="str">
        <f t="shared" si="5"/>
        <v/>
      </c>
      <c r="BY61" s="47" t="str">
        <f>IF($W61="初級",VLOOKUP($BE61,参照データ!$C$43:$U$56,17,0),IF($W61="中級",VLOOKUP($BE61,参照データ!$C$43:$U$56,18,0),IF($W61="上級",VLOOKUP($BE61,参照データ!$C$43:$U$56,19,0),"")))</f>
        <v/>
      </c>
      <c r="BZ61" s="687"/>
      <c r="CA61" s="65" t="s">
        <v>273</v>
      </c>
      <c r="CB61" s="135" t="str">
        <f t="shared" si="13"/>
        <v/>
      </c>
      <c r="CC61" s="689"/>
      <c r="CE61" s="53" t="str">
        <f>IF(AND($AZ61&gt;=参照データ!$C$67,$AZ61&lt;=参照データ!$C$65),1,IF(AND($AZ61&gt;=参照データ!$C$70,$AZ61&lt;=参照データ!$C$68),2,IF(AND($AZ61&gt;=参照データ!$C$73,$AZ61&lt;=参照データ!$C$71),3,IF(AND($AZ61&gt;=参照データ!$C$76,$AZ61&lt;=参照データ!$C$74),4,IF(AND($AZ61&gt;=参照データ!$C$79,$AZ61&lt;=参照データ!$C$77),5,IF(AND($AZ61&gt;0,$AZ61&lt;=参照データ!$C$80),6,""))))))</f>
        <v/>
      </c>
      <c r="CF61" s="141" t="str">
        <f>IF($Z61="○",(VLOOKUP($CE61,参照データ!$D$65:$J$82,2,0)),"")</f>
        <v/>
      </c>
      <c r="CG61" s="71" t="str">
        <f t="shared" si="14"/>
        <v/>
      </c>
      <c r="CH61" s="70" t="str">
        <f>IF($AB61="○",(VLOOKUP($CE61,参照データ!$D$65:$J$82,3,0)),"")</f>
        <v/>
      </c>
      <c r="CI61" s="71" t="str">
        <f t="shared" si="15"/>
        <v/>
      </c>
      <c r="CJ61" s="70" t="str">
        <f>IF($AD61="○",(VLOOKUP($CE61,参照データ!$D$65:$J$82,4,0)),"")</f>
        <v/>
      </c>
      <c r="CK61" s="71" t="str">
        <f t="shared" si="16"/>
        <v/>
      </c>
      <c r="CL61" s="70" t="str">
        <f>IF($AF61="○",(VLOOKUP($CE61,参照データ!$D$65:$J$82,5,0)),"")</f>
        <v/>
      </c>
      <c r="CM61" s="71" t="str">
        <f t="shared" si="6"/>
        <v/>
      </c>
      <c r="CN61" s="70" t="str">
        <f>IF($AH61="○",(VLOOKUP($CE61,参照データ!$D$65:$J$82,6,0)),"")</f>
        <v/>
      </c>
      <c r="CO61" s="71" t="str">
        <f t="shared" si="17"/>
        <v/>
      </c>
      <c r="CP61" s="33" t="str">
        <f t="shared" si="18"/>
        <v/>
      </c>
      <c r="CQ61" s="32" t="str">
        <f t="shared" si="19"/>
        <v/>
      </c>
      <c r="CR61" s="71" t="str">
        <f t="shared" si="20"/>
        <v/>
      </c>
      <c r="CS61" s="682"/>
      <c r="CT61" s="77" t="s">
        <v>134</v>
      </c>
      <c r="CU61" s="78" t="str">
        <f t="shared" si="21"/>
        <v/>
      </c>
      <c r="CV61" s="684"/>
      <c r="CW61" s="308" t="str">
        <f t="shared" ref="CW61" si="108">$CW60</f>
        <v/>
      </c>
      <c r="CX61" s="70"/>
      <c r="CY61" s="172" t="str">
        <f t="shared" si="22"/>
        <v/>
      </c>
      <c r="DA61" s="32"/>
      <c r="DB61" s="161" t="str">
        <f t="shared" si="23"/>
        <v/>
      </c>
      <c r="DC61" s="744"/>
      <c r="DD61" s="164" t="s">
        <v>134</v>
      </c>
      <c r="DE61" s="165" t="str">
        <f t="shared" si="44"/>
        <v/>
      </c>
      <c r="DF61" s="742"/>
      <c r="DG61" t="str">
        <f>IF($DH61="","",DATEDIF($AZ61,参照データ!$D$19,"Y"))</f>
        <v/>
      </c>
      <c r="DH61" s="253" t="str">
        <f>IFERROR(IF($BA61="男子",VLOOKUP($DO61,参照データ!$D$88:$E$117,2,0),$DO61),0)</f>
        <v/>
      </c>
      <c r="DI61" s="84" t="str">
        <f>IF($Z61="選手権",(VLOOKUP($DH61,参照データ!$D$88:$K$117,3,0)),"")</f>
        <v/>
      </c>
      <c r="DJ61" s="85" t="str">
        <f t="shared" si="83"/>
        <v/>
      </c>
      <c r="DK61" s="84" t="str">
        <f>IF($AB61="選手権",(VLOOKUP($DH61,参照データ!$D$88:$K$117,4,0)),"")</f>
        <v/>
      </c>
      <c r="DL61" s="85" t="str">
        <f t="shared" si="84"/>
        <v/>
      </c>
      <c r="DM61" s="84" t="str">
        <f>IF($AD61="選手権",(VLOOKUP($DH61,参照データ!$D$88:$K$117,5,0)),"")</f>
        <v/>
      </c>
      <c r="DN61" s="85" t="str">
        <f t="shared" si="85"/>
        <v/>
      </c>
      <c r="DO61" s="53" t="str">
        <f>IF(AND($AZ61&gt;=参照データ!$C$90,$AZ61&lt;=参照データ!$C$88),1,IF(AND($AZ61&gt;=参照データ!$C$93,$AZ61&lt;=参照データ!$C$91),2,IF(AND($AZ61&gt;=参照データ!$C$99,$AZ61&lt;=参照データ!$C$97),3,IF(AND($AZ61&gt;=参照データ!$C$105,$AZ61&lt;=参照データ!$C$103),4,IF(AND($AZ61&gt;=参照データ!$C$111,$AZ61&lt;=参照データ!$C$109),5,IF(AND($AZ61&gt;0,$AZ61&lt;=参照データ!$C$112),6,""))))))</f>
        <v/>
      </c>
      <c r="DP61" s="84" t="str">
        <f>IF($AF61="選手権",(VLOOKUP($DO61,参照データ!$D$88:$K$117,6,0)),"")</f>
        <v/>
      </c>
      <c r="DQ61" s="85" t="str">
        <f t="shared" si="10"/>
        <v/>
      </c>
      <c r="DR61" s="84" t="str">
        <f>IF($AH61="選手権",(VLOOKUP($DO61,参照データ!$D$88:$K$117,7,0)),"")</f>
        <v/>
      </c>
      <c r="DS61" s="85" t="str">
        <f t="shared" si="24"/>
        <v/>
      </c>
      <c r="DT61" s="33" t="str">
        <f t="shared" si="25"/>
        <v/>
      </c>
      <c r="DU61" s="32" t="str">
        <f t="shared" si="26"/>
        <v/>
      </c>
      <c r="DV61" s="85" t="str">
        <f t="shared" si="27"/>
        <v/>
      </c>
      <c r="DW61" s="733"/>
      <c r="DX61" s="91" t="s">
        <v>134</v>
      </c>
      <c r="DY61" s="92" t="str">
        <f t="shared" si="37"/>
        <v/>
      </c>
      <c r="DZ61" s="735"/>
      <c r="EA61" s="312" t="str">
        <f t="shared" ref="EA61" si="109">$EA60</f>
        <v/>
      </c>
      <c r="EC61" s="491" t="str">
        <f t="shared" si="28"/>
        <v/>
      </c>
      <c r="EH61" s="35">
        <f>(COUNTIF($J61:$O61,"&lt;&gt;"))*参照データ!$E$3</f>
        <v>0</v>
      </c>
      <c r="EI61" s="219" t="str">
        <f>IF(P61="○",参照データ!$E$5,"")</f>
        <v/>
      </c>
      <c r="EJ61" s="219" t="str">
        <f>IF($Y61="○",参照データ!$E$4,"")</f>
        <v/>
      </c>
      <c r="EK61" s="18">
        <f>(SUM(COUNTIF($R61:$V61,{"入門","初級"}))*参照データ!$E$9)+(SUM(COUNTIF($R61:$V61,{"中級","上級"})*参照データ!$E$10))</f>
        <v>0</v>
      </c>
      <c r="EL61" s="18">
        <f>IFERROR(VLOOKUP($W61,参照データ!$D$9:$J$11,7,0),0)</f>
        <v>0</v>
      </c>
      <c r="EM61" s="18">
        <f>((COUNTIF($Z61:$AH61,"○"))*参照データ!$E$12)</f>
        <v>0</v>
      </c>
      <c r="EN61" s="18" t="str">
        <f>(IF($AJ61="○",参照データ!$J$12,""))</f>
        <v/>
      </c>
      <c r="EQ61" s="18">
        <f>((COUNTIF($Z61:$AH61,"選手権"))*参照データ!$E$13)</f>
        <v>0</v>
      </c>
      <c r="ER61" s="18" t="str">
        <f>(IF($AJ61="選手権",参照データ!$J$13,""))</f>
        <v/>
      </c>
      <c r="ES61" s="18">
        <f>(COUNTIF($AQ61:$AR61,"&lt;&gt;"))*参照データ!$H$3</f>
        <v>0</v>
      </c>
      <c r="ET61" s="18"/>
      <c r="EU61" s="18" t="str">
        <f>IF(AV61&lt;&gt;"",参照データ!$H$15,"")</f>
        <v/>
      </c>
      <c r="EV61" s="98" cm="1">
        <f t="array" ref="EV61">SUM(IF(ISERROR(EH61:EU61),0,(EH61:EU61)))</f>
        <v>0</v>
      </c>
      <c r="EW61" s="18"/>
      <c r="EX61" s="18">
        <f t="shared" si="86"/>
        <v>0</v>
      </c>
      <c r="EY61" s="18">
        <f t="shared" si="29"/>
        <v>0</v>
      </c>
      <c r="EZ61" s="18">
        <f t="shared" si="38"/>
        <v>0</v>
      </c>
      <c r="FA61" s="18">
        <f t="shared" si="30"/>
        <v>0</v>
      </c>
      <c r="FB61" s="18">
        <f>COUNTIF($Z61:$AN61,"○")</f>
        <v>0</v>
      </c>
      <c r="FC61" s="18">
        <f t="shared" si="32"/>
        <v>0</v>
      </c>
      <c r="FD61" s="18">
        <f t="shared" si="12"/>
        <v>0</v>
      </c>
      <c r="FE61" t="str">
        <f t="shared" si="33"/>
        <v/>
      </c>
    </row>
    <row r="62" spans="1:161" ht="18.75" customHeight="1" x14ac:dyDescent="0.2">
      <c r="A62">
        <v>51</v>
      </c>
      <c r="B62" s="14" t="str">
        <f>IF(D62="","",IF(D62="重複","",COUNTIF(B$12:$B61,"&gt;0")+1))</f>
        <v/>
      </c>
      <c r="C62" s="464"/>
      <c r="D62" s="177"/>
      <c r="E62" s="177"/>
      <c r="F62" s="31"/>
      <c r="G62" s="41"/>
      <c r="H62" s="351">
        <f t="shared" si="34"/>
        <v>0</v>
      </c>
      <c r="I62" s="193" t="str">
        <f>IF($AZ62=0,"",DATEDIF($AZ62,参照データ!$D$16,"Y"))</f>
        <v/>
      </c>
      <c r="J62" s="36"/>
      <c r="K62" s="36"/>
      <c r="L62" s="36"/>
      <c r="M62" s="36"/>
      <c r="N62" s="36"/>
      <c r="O62" s="42"/>
      <c r="P62" s="345"/>
      <c r="Q62" s="345"/>
      <c r="R62" s="43"/>
      <c r="S62" s="244"/>
      <c r="T62" s="244"/>
      <c r="U62" s="244"/>
      <c r="V62" s="245"/>
      <c r="W62" s="248"/>
      <c r="X62" s="250"/>
      <c r="Y62" s="345"/>
      <c r="Z62" s="388"/>
      <c r="AA62" s="346" t="str">
        <f>IF($Z62="○",VLOOKUP($CE62,参照データ!$D$65:$M$82,9,0),IF($Z62="選手権",VLOOKUP($DH62,参照データ!$D$88:$O$117,10,0),""))</f>
        <v/>
      </c>
      <c r="AB62" s="388"/>
      <c r="AC62" s="346" t="str">
        <f>IF($AB62="○",VLOOKUP($CE62,参照データ!$D$65:$M$82,10,0),IF($AB62="選手権",VLOOKUP($DH62,参照データ!$D$88:$O$117,11,0),""))</f>
        <v/>
      </c>
      <c r="AD62" s="388"/>
      <c r="AE62" s="346" t="str">
        <f>IF($AD62="○",VLOOKUP($CE62,参照データ!$D$65:$M$82,10,0),IF($AD62="選手権",VLOOKUP($DH62,参照データ!$D$88:$O$117,11,0),""))</f>
        <v/>
      </c>
      <c r="AF62" s="388"/>
      <c r="AG62" s="346" t="str">
        <f>IF($AF62="○",VLOOKUP($CE62,参照データ!$D$65:$M$82,10,0),IF($AF62="選手権",VLOOKUP($DO62,参照データ!$D$88:$O$117,12,0),""))</f>
        <v/>
      </c>
      <c r="AH62" s="388"/>
      <c r="AI62" s="346" t="str">
        <f>IF($AH62="○",VLOOKUP($CE62,参照データ!$D$65:$M$82,10,0),IF($AH62="選手権",VLOOKUP($DO62,参照データ!$D$88:$O$117,12,0),""))</f>
        <v/>
      </c>
      <c r="AJ62" s="388"/>
      <c r="AK62" s="511"/>
      <c r="AL62" s="346" t="str">
        <f t="shared" si="80"/>
        <v/>
      </c>
      <c r="AM62" s="392"/>
      <c r="AN62" s="391"/>
      <c r="AO62" s="391"/>
      <c r="AP62" s="447"/>
      <c r="AQ62" s="321"/>
      <c r="AR62" s="481"/>
      <c r="AS62" s="393"/>
      <c r="AT62" s="483"/>
      <c r="AU62" s="393"/>
      <c r="AV62" s="529"/>
      <c r="AW62" s="483"/>
      <c r="AZ62">
        <f t="shared" si="50"/>
        <v>0</v>
      </c>
      <c r="BA62" t="str">
        <f t="shared" si="35"/>
        <v/>
      </c>
      <c r="BB62" s="132"/>
      <c r="BD62" s="513" t="str">
        <f t="shared" si="81"/>
        <v/>
      </c>
      <c r="BE62" s="53" t="str">
        <f>IF($AZ62=0,"",IF(AND($I62&gt;=6,$I62&lt;=19),VLOOKUP($I62,参照データ!$B$24:$C$37,2,0),IF($I62&lt;6,6,19)))</f>
        <v/>
      </c>
      <c r="BF62" s="155" t="str">
        <f>IF($J62="○",VLOOKUP($BE62,参照データ!$C$24:$I$37,2,0),"")</f>
        <v/>
      </c>
      <c r="BG62" s="146" t="str">
        <f>IF($K62="○",VLOOKUP($BE62,参照データ!$C$24:$I$37,3,0),"")</f>
        <v/>
      </c>
      <c r="BH62" s="146" t="str">
        <f>IF($L62="○",VLOOKUP($BE62,参照データ!$C$24:$I$37,4,0),"")</f>
        <v/>
      </c>
      <c r="BI62" s="146" t="str">
        <f>IF($M62="○",VLOOKUP($BE62,参照データ!$C$24:$I$37,5,0),"")</f>
        <v/>
      </c>
      <c r="BJ62" s="146" t="str">
        <f>IF($N62="20日",VLOOKUP($BE62,参照データ!$C$24:$I$37,6,0),"")</f>
        <v/>
      </c>
      <c r="BK62" s="156" t="str">
        <f>IF($O62="20日",VLOOKUP($BE62,参照データ!$C$24:$I$37,7,0),"")</f>
        <v/>
      </c>
      <c r="BL62" s="155" t="str">
        <f>IF($J62="21日",VLOOKUP($BE62,参照データ!$C$24:$I$37,2,0),"")</f>
        <v/>
      </c>
      <c r="BM62" s="146" t="str">
        <f>IF($K62="21日",VLOOKUP($BE62,参照データ!$C$24:$I$37,3,0),"")</f>
        <v/>
      </c>
      <c r="BN62" s="146" t="str">
        <f>IF($L62="21日",VLOOKUP($BE62,参照データ!$C$24:$I$37,4,0),"")</f>
        <v/>
      </c>
      <c r="BO62" s="146" t="str">
        <f>IF($M62="21日",VLOOKUP($BE62,参照データ!$C$24:$I$37,5,0),"")</f>
        <v/>
      </c>
      <c r="BP62" s="146" t="str">
        <f>IF($N62="21日",VLOOKUP($BE62,参照データ!$C$24:$I$37,6,0),"")</f>
        <v/>
      </c>
      <c r="BQ62" s="156" t="str">
        <f>IF($O62="21日",VLOOKUP($BE62,参照データ!$C$24:$I$37,7,0),"")</f>
        <v/>
      </c>
      <c r="BR62" s="223" t="str">
        <f t="shared" si="42"/>
        <v/>
      </c>
      <c r="BS62" s="154" t="str">
        <f>IF($R62="入門",VLOOKUP($BE62,参照データ!$C$43:$U$56,2,0),IF($R62="初級",VLOOKUP($BE62,参照データ!$C$43:$U$56,3,0),IF($R62="中級",VLOOKUP($BE62,参照データ!$C$43:$U$56,4,0),IF($R62="上級",VLOOKUP($BE62,参照データ!$C$43:$U$56,5,0),""))))</f>
        <v/>
      </c>
      <c r="BT62" s="154" t="str">
        <f>IF($S62="初級",VLOOKUP($BE62,参照データ!$C$43:$U$56,6,0),IF($S62="中級",VLOOKUP($BE62,参照データ!$C$43:$U$56,7,0),IF($S62="上級",VLOOKUP($BE62,参照データ!$C$43:$U$56,8,0),"")))</f>
        <v/>
      </c>
      <c r="BU62" s="154" t="str">
        <f>IF($T62="初級",VLOOKUP($BE62,参照データ!$C$43:$U$56,9,0),IF($T62="上級",VLOOKUP($BE62,参照データ!$C$43:$U$56,10,0),""))</f>
        <v/>
      </c>
      <c r="BV62" s="154" t="str">
        <f>IF($U62="初級",VLOOKUP($BE62,参照データ!$C$43:$U$56,11,0),IF($U62="中級",VLOOKUP($BE62,参照データ!$C$43:$U$56,12,0),IF($U62="上級",VLOOKUP($BE62,参照データ!$C$43:$U$56,13,0),"")))</f>
        <v/>
      </c>
      <c r="BW62" s="154" t="str">
        <f>IF($V62="初級",VLOOKUP($BE62,参照データ!$C$43:$U$56,14,0),IF($V62="中級",VLOOKUP($BE62,参照データ!$C$43:$U$56,15,0),IF($V62="上級",VLOOKUP($BE62,参照データ!$C$43:$U$56,16,0),"")))</f>
        <v/>
      </c>
      <c r="BX62" s="47" t="str">
        <f t="shared" si="5"/>
        <v/>
      </c>
      <c r="BY62" s="47" t="str">
        <f>IF($W62="初級",VLOOKUP($BE62,参照データ!$C$43:$U$56,17,0),IF($W62="中級",VLOOKUP($BE62,参照データ!$C$43:$U$56,18,0),IF($W62="上級",VLOOKUP($BE62,参照データ!$C$43:$U$56,19,0),"")))</f>
        <v/>
      </c>
      <c r="BZ62" s="686">
        <v>26</v>
      </c>
      <c r="CA62" s="66" t="s">
        <v>274</v>
      </c>
      <c r="CB62" s="136" t="str">
        <f t="shared" si="13"/>
        <v/>
      </c>
      <c r="CC62" s="688" t="str">
        <f t="shared" ref="CC62" si="110">IF(OR($CB62="",$CB63=""),"",IF($CB62&gt;$CB63,$CB62,$CB63))</f>
        <v/>
      </c>
      <c r="CE62" s="53" t="str">
        <f>IF(AND($AZ62&gt;=参照データ!$C$67,$AZ62&lt;=参照データ!$C$65),1,IF(AND($AZ62&gt;=参照データ!$C$70,$AZ62&lt;=参照データ!$C$68),2,IF(AND($AZ62&gt;=参照データ!$C$73,$AZ62&lt;=参照データ!$C$71),3,IF(AND($AZ62&gt;=参照データ!$C$76,$AZ62&lt;=参照データ!$C$74),4,IF(AND($AZ62&gt;=参照データ!$C$79,$AZ62&lt;=参照データ!$C$77),5,IF(AND($AZ62&gt;0,$AZ62&lt;=参照データ!$C$80),6,""))))))</f>
        <v/>
      </c>
      <c r="CF62" s="141" t="str">
        <f>IF($Z62="○",(VLOOKUP($CE62,参照データ!$D$65:$J$82,2,0)),"")</f>
        <v/>
      </c>
      <c r="CG62" s="71" t="str">
        <f t="shared" si="14"/>
        <v/>
      </c>
      <c r="CH62" s="70" t="str">
        <f>IF($AB62="○",(VLOOKUP($CE62,参照データ!$D$65:$J$82,3,0)),"")</f>
        <v/>
      </c>
      <c r="CI62" s="71" t="str">
        <f t="shared" si="15"/>
        <v/>
      </c>
      <c r="CJ62" s="70" t="str">
        <f>IF($AD62="○",(VLOOKUP($CE62,参照データ!$D$65:$J$82,4,0)),"")</f>
        <v/>
      </c>
      <c r="CK62" s="71" t="str">
        <f t="shared" si="16"/>
        <v/>
      </c>
      <c r="CL62" s="70" t="str">
        <f>IF($AF62="○",(VLOOKUP($CE62,参照データ!$D$65:$J$82,5,0)),"")</f>
        <v/>
      </c>
      <c r="CM62" s="71" t="str">
        <f t="shared" si="6"/>
        <v/>
      </c>
      <c r="CN62" s="70" t="str">
        <f>IF($AH62="○",(VLOOKUP($CE62,参照データ!$D$65:$J$82,6,0)),"")</f>
        <v/>
      </c>
      <c r="CO62" s="71" t="str">
        <f t="shared" si="17"/>
        <v/>
      </c>
      <c r="CP62" s="33" t="str">
        <f t="shared" si="18"/>
        <v/>
      </c>
      <c r="CQ62" s="32" t="str">
        <f t="shared" si="19"/>
        <v/>
      </c>
      <c r="CR62" s="71" t="str">
        <f t="shared" si="20"/>
        <v/>
      </c>
      <c r="CS62" s="681">
        <v>26</v>
      </c>
      <c r="CT62" s="79" t="s">
        <v>135</v>
      </c>
      <c r="CU62" s="80" t="str">
        <f t="shared" si="21"/>
        <v/>
      </c>
      <c r="CV62" s="683" t="e">
        <f>IF($CU62&gt;$CU63,VLOOKUP($CU62,参照データ!$D$65:$J$82,7,0),VLOOKUP($CU63,参照データ!$D$65:$J$82,7,0))</f>
        <v>#N/A</v>
      </c>
      <c r="CW62" s="308" t="str">
        <f>IFERROR(VLOOKUP($CV62,参照データ!$J$65:$M$82,4,0),"")</f>
        <v/>
      </c>
      <c r="CX62" s="70"/>
      <c r="CY62" s="172" t="str">
        <f t="shared" si="22"/>
        <v/>
      </c>
      <c r="DA62" s="32"/>
      <c r="DB62" s="161" t="str">
        <f t="shared" si="23"/>
        <v/>
      </c>
      <c r="DC62" s="743">
        <v>26</v>
      </c>
      <c r="DD62" s="166" t="s">
        <v>135</v>
      </c>
      <c r="DE62" s="167" t="str">
        <f t="shared" si="44"/>
        <v/>
      </c>
      <c r="DF62" s="741" t="str">
        <f>IF(OR(DE62="",DE63=""),"",IF(DE62&gt;DE63,DE62,DE63))</f>
        <v/>
      </c>
      <c r="DG62" t="str">
        <f>IF($DH62="","",DATEDIF($AZ62,参照データ!$D$19,"Y"))</f>
        <v/>
      </c>
      <c r="DH62" s="253" t="str">
        <f>IFERROR(IF($BA62="男子",VLOOKUP($DO62,参照データ!$D$88:$E$117,2,0),$DO62),0)</f>
        <v/>
      </c>
      <c r="DI62" s="84" t="str">
        <f>IF($Z62="選手権",(VLOOKUP($DH62,参照データ!$D$88:$K$117,3,0)),"")</f>
        <v/>
      </c>
      <c r="DJ62" s="85" t="str">
        <f t="shared" si="83"/>
        <v/>
      </c>
      <c r="DK62" s="84" t="str">
        <f>IF($AB62="選手権",(VLOOKUP($DH62,参照データ!$D$88:$K$117,4,0)),"")</f>
        <v/>
      </c>
      <c r="DL62" s="85" t="str">
        <f t="shared" si="84"/>
        <v/>
      </c>
      <c r="DM62" s="84" t="str">
        <f>IF($AD62="選手権",(VLOOKUP($DH62,参照データ!$D$88:$K$117,5,0)),"")</f>
        <v/>
      </c>
      <c r="DN62" s="85" t="str">
        <f t="shared" si="85"/>
        <v/>
      </c>
      <c r="DO62" s="53" t="str">
        <f>IF(AND($AZ62&gt;=参照データ!$C$90,$AZ62&lt;=参照データ!$C$88),1,IF(AND($AZ62&gt;=参照データ!$C$93,$AZ62&lt;=参照データ!$C$91),2,IF(AND($AZ62&gt;=参照データ!$C$99,$AZ62&lt;=参照データ!$C$97),3,IF(AND($AZ62&gt;=参照データ!$C$105,$AZ62&lt;=参照データ!$C$103),4,IF(AND($AZ62&gt;=参照データ!$C$111,$AZ62&lt;=参照データ!$C$109),5,IF(AND($AZ62&gt;0,$AZ62&lt;=参照データ!$C$112),6,""))))))</f>
        <v/>
      </c>
      <c r="DP62" s="84" t="str">
        <f>IF($AF62="選手権",(VLOOKUP($DO62,参照データ!$D$88:$K$117,6,0)),"")</f>
        <v/>
      </c>
      <c r="DQ62" s="85" t="str">
        <f t="shared" si="10"/>
        <v/>
      </c>
      <c r="DR62" s="84" t="str">
        <f>IF($AH62="選手権",(VLOOKUP($DO62,参照データ!$D$88:$K$117,7,0)),"")</f>
        <v/>
      </c>
      <c r="DS62" s="85" t="str">
        <f t="shared" si="24"/>
        <v/>
      </c>
      <c r="DT62" s="33" t="str">
        <f t="shared" si="25"/>
        <v/>
      </c>
      <c r="DU62" s="32" t="str">
        <f t="shared" si="26"/>
        <v/>
      </c>
      <c r="DV62" s="85" t="str">
        <f t="shared" si="27"/>
        <v/>
      </c>
      <c r="DW62" s="736">
        <v>26</v>
      </c>
      <c r="DX62" s="93" t="s">
        <v>135</v>
      </c>
      <c r="DY62" s="94" t="str">
        <f t="shared" si="37"/>
        <v/>
      </c>
      <c r="DZ62" s="737" t="e">
        <f>IF($DY62&gt;$DY63,VLOOKUP($DY62,参照データ!$D$88:$K$117,8,0),VLOOKUP($DY63,参照データ!$D$88:$K$117,8,0))</f>
        <v>#N/A</v>
      </c>
      <c r="EA62" s="312" t="str">
        <f>IFERROR(VLOOKUP($DZ62,参照データ!$K$88:$O$117,5,0),"")</f>
        <v/>
      </c>
      <c r="EC62" s="491" t="str">
        <f t="shared" si="28"/>
        <v/>
      </c>
      <c r="EH62" s="35">
        <f>(COUNTIF($J62:$O62,"&lt;&gt;"))*参照データ!$E$3</f>
        <v>0</v>
      </c>
      <c r="EI62" s="219" t="str">
        <f>IF(P62="○",参照データ!$E$5,"")</f>
        <v/>
      </c>
      <c r="EJ62" s="219" t="str">
        <f>IF($Y62="○",参照データ!$E$4,"")</f>
        <v/>
      </c>
      <c r="EK62" s="18">
        <f>(SUM(COUNTIF($R62:$V62,{"入門","初級"}))*参照データ!$E$9)+(SUM(COUNTIF($R62:$V62,{"中級","上級"})*参照データ!$E$10))</f>
        <v>0</v>
      </c>
      <c r="EL62" s="18">
        <f>IFERROR(VLOOKUP($W62,参照データ!$D$9:$J$11,7,0),0)</f>
        <v>0</v>
      </c>
      <c r="EM62" s="18">
        <f>((COUNTIF($Z62:$AH62,"○"))*参照データ!$E$12)</f>
        <v>0</v>
      </c>
      <c r="EN62" s="18" t="str">
        <f>(IF($AJ62="○",参照データ!$J$12,""))</f>
        <v/>
      </c>
      <c r="EQ62" s="18">
        <f>((COUNTIF($Z62:$AH62,"選手権"))*参照データ!$E$13)</f>
        <v>0</v>
      </c>
      <c r="ER62" s="18" t="str">
        <f>(IF($AJ62="選手権",参照データ!$J$13,""))</f>
        <v/>
      </c>
      <c r="ES62" s="18">
        <f>(COUNTIF($AQ62:$AR62,"&lt;&gt;"))*参照データ!$H$3</f>
        <v>0</v>
      </c>
      <c r="ET62" s="18"/>
      <c r="EU62" s="18" t="str">
        <f>IF(AV62&lt;&gt;"",参照データ!$H$15,"")</f>
        <v/>
      </c>
      <c r="EV62" s="98" cm="1">
        <f t="array" ref="EV62">SUM(IF(ISERROR(EH62:EU62),0,(EH62:EU62)))</f>
        <v>0</v>
      </c>
      <c r="EW62" s="18"/>
      <c r="EX62" s="18">
        <f t="shared" si="86"/>
        <v>0</v>
      </c>
      <c r="EY62" s="18">
        <f t="shared" si="29"/>
        <v>0</v>
      </c>
      <c r="EZ62" s="18">
        <f t="shared" si="38"/>
        <v>0</v>
      </c>
      <c r="FA62" s="18">
        <f t="shared" si="30"/>
        <v>0</v>
      </c>
      <c r="FB62" s="18">
        <f t="shared" si="31"/>
        <v>0</v>
      </c>
      <c r="FC62" s="18">
        <f t="shared" si="32"/>
        <v>0</v>
      </c>
      <c r="FD62" s="18">
        <f t="shared" si="12"/>
        <v>0</v>
      </c>
      <c r="FE62" t="str">
        <f t="shared" si="33"/>
        <v/>
      </c>
    </row>
    <row r="63" spans="1:161" ht="18.75" customHeight="1" x14ac:dyDescent="0.2">
      <c r="A63">
        <v>52</v>
      </c>
      <c r="B63" s="14" t="str">
        <f>IF(D63="","",IF(D63="重複","",COUNTIF(B$12:$B62,"&gt;0")+1))</f>
        <v/>
      </c>
      <c r="C63" s="464"/>
      <c r="D63" s="177"/>
      <c r="E63" s="177"/>
      <c r="F63" s="31"/>
      <c r="G63" s="41"/>
      <c r="H63" s="351">
        <f t="shared" si="34"/>
        <v>0</v>
      </c>
      <c r="I63" s="193" t="str">
        <f>IF($AZ63=0,"",DATEDIF($AZ63,参照データ!$D$16,"Y"))</f>
        <v/>
      </c>
      <c r="J63" s="36"/>
      <c r="K63" s="36"/>
      <c r="L63" s="36"/>
      <c r="M63" s="36"/>
      <c r="N63" s="36"/>
      <c r="O63" s="42"/>
      <c r="P63" s="345"/>
      <c r="Q63" s="345"/>
      <c r="R63" s="43"/>
      <c r="S63" s="244"/>
      <c r="T63" s="244"/>
      <c r="U63" s="244"/>
      <c r="V63" s="245"/>
      <c r="W63" s="248"/>
      <c r="X63" s="250"/>
      <c r="Y63" s="345"/>
      <c r="Z63" s="388"/>
      <c r="AA63" s="346" t="str">
        <f>IF($Z63="○",VLOOKUP($CE63,参照データ!$D$65:$M$82,9,0),IF($Z63="選手権",VLOOKUP($DH63,参照データ!$D$88:$O$117,10,0),""))</f>
        <v/>
      </c>
      <c r="AB63" s="388"/>
      <c r="AC63" s="346" t="str">
        <f>IF($AB63="○",VLOOKUP($CE63,参照データ!$D$65:$M$82,10,0),IF($AB63="選手権",VLOOKUP($DH63,参照データ!$D$88:$O$117,11,0),""))</f>
        <v/>
      </c>
      <c r="AD63" s="388"/>
      <c r="AE63" s="346" t="str">
        <f>IF($AD63="○",VLOOKUP($CE63,参照データ!$D$65:$M$82,10,0),IF($AD63="選手権",VLOOKUP($DH63,参照データ!$D$88:$O$117,11,0),""))</f>
        <v/>
      </c>
      <c r="AF63" s="388"/>
      <c r="AG63" s="346" t="str">
        <f>IF($AF63="○",VLOOKUP($CE63,参照データ!$D$65:$M$82,10,0),IF($AF63="選手権",VLOOKUP($DO63,参照データ!$D$88:$O$117,12,0),""))</f>
        <v/>
      </c>
      <c r="AH63" s="388"/>
      <c r="AI63" s="346" t="str">
        <f>IF($AH63="○",VLOOKUP($CE63,参照データ!$D$65:$M$82,10,0),IF($AH63="選手権",VLOOKUP($DO63,参照データ!$D$88:$O$117,12,0),""))</f>
        <v/>
      </c>
      <c r="AJ63" s="388"/>
      <c r="AK63" s="511"/>
      <c r="AL63" s="346" t="str">
        <f t="shared" si="80"/>
        <v/>
      </c>
      <c r="AM63" s="392"/>
      <c r="AN63" s="391"/>
      <c r="AO63" s="391"/>
      <c r="AP63" s="447"/>
      <c r="AQ63" s="321"/>
      <c r="AR63" s="481"/>
      <c r="AS63" s="393"/>
      <c r="AT63" s="483"/>
      <c r="AU63" s="393"/>
      <c r="AV63" s="529"/>
      <c r="AW63" s="483"/>
      <c r="AZ63">
        <f t="shared" si="50"/>
        <v>0</v>
      </c>
      <c r="BA63" t="str">
        <f t="shared" si="35"/>
        <v/>
      </c>
      <c r="BB63" s="132"/>
      <c r="BD63" s="513" t="str">
        <f t="shared" si="81"/>
        <v/>
      </c>
      <c r="BE63" s="53" t="str">
        <f>IF($AZ63=0,"",IF(AND($I63&gt;=6,$I63&lt;=19),VLOOKUP($I63,参照データ!$B$24:$C$37,2,0),IF($I63&lt;6,6,19)))</f>
        <v/>
      </c>
      <c r="BF63" s="155" t="str">
        <f>IF($J63="○",VLOOKUP($BE63,参照データ!$C$24:$I$37,2,0),"")</f>
        <v/>
      </c>
      <c r="BG63" s="146" t="str">
        <f>IF($K63="○",VLOOKUP($BE63,参照データ!$C$24:$I$37,3,0),"")</f>
        <v/>
      </c>
      <c r="BH63" s="146" t="str">
        <f>IF($L63="○",VLOOKUP($BE63,参照データ!$C$24:$I$37,4,0),"")</f>
        <v/>
      </c>
      <c r="BI63" s="146" t="str">
        <f>IF($M63="○",VLOOKUP($BE63,参照データ!$C$24:$I$37,5,0),"")</f>
        <v/>
      </c>
      <c r="BJ63" s="146" t="str">
        <f>IF($N63="20日",VLOOKUP($BE63,参照データ!$C$24:$I$37,6,0),"")</f>
        <v/>
      </c>
      <c r="BK63" s="156" t="str">
        <f>IF($O63="20日",VLOOKUP($BE63,参照データ!$C$24:$I$37,7,0),"")</f>
        <v/>
      </c>
      <c r="BL63" s="155" t="str">
        <f>IF($J63="21日",VLOOKUP($BE63,参照データ!$C$24:$I$37,2,0),"")</f>
        <v/>
      </c>
      <c r="BM63" s="146" t="str">
        <f>IF($K63="21日",VLOOKUP($BE63,参照データ!$C$24:$I$37,3,0),"")</f>
        <v/>
      </c>
      <c r="BN63" s="146" t="str">
        <f>IF($L63="21日",VLOOKUP($BE63,参照データ!$C$24:$I$37,4,0),"")</f>
        <v/>
      </c>
      <c r="BO63" s="146" t="str">
        <f>IF($M63="21日",VLOOKUP($BE63,参照データ!$C$24:$I$37,5,0),"")</f>
        <v/>
      </c>
      <c r="BP63" s="146" t="str">
        <f>IF($N63="21日",VLOOKUP($BE63,参照データ!$C$24:$I$37,6,0),"")</f>
        <v/>
      </c>
      <c r="BQ63" s="156" t="str">
        <f>IF($O63="21日",VLOOKUP($BE63,参照データ!$C$24:$I$37,7,0),"")</f>
        <v/>
      </c>
      <c r="BR63" s="223" t="str">
        <f t="shared" si="42"/>
        <v/>
      </c>
      <c r="BS63" s="154" t="str">
        <f>IF($R63="入門",VLOOKUP($BE63,参照データ!$C$43:$U$56,2,0),IF($R63="初級",VLOOKUP($BE63,参照データ!$C$43:$U$56,3,0),IF($R63="中級",VLOOKUP($BE63,参照データ!$C$43:$U$56,4,0),IF($R63="上級",VLOOKUP($BE63,参照データ!$C$43:$U$56,5,0),""))))</f>
        <v/>
      </c>
      <c r="BT63" s="154" t="str">
        <f>IF($S63="初級",VLOOKUP($BE63,参照データ!$C$43:$U$56,6,0),IF($S63="中級",VLOOKUP($BE63,参照データ!$C$43:$U$56,7,0),IF($S63="上級",VLOOKUP($BE63,参照データ!$C$43:$U$56,8,0),"")))</f>
        <v/>
      </c>
      <c r="BU63" s="154" t="str">
        <f>IF($T63="初級",VLOOKUP($BE63,参照データ!$C$43:$U$56,9,0),IF($T63="上級",VLOOKUP($BE63,参照データ!$C$43:$U$56,10,0),""))</f>
        <v/>
      </c>
      <c r="BV63" s="154" t="str">
        <f>IF($U63="初級",VLOOKUP($BE63,参照データ!$C$43:$U$56,11,0),IF($U63="中級",VLOOKUP($BE63,参照データ!$C$43:$U$56,12,0),IF($U63="上級",VLOOKUP($BE63,参照データ!$C$43:$U$56,13,0),"")))</f>
        <v/>
      </c>
      <c r="BW63" s="154" t="str">
        <f>IF($V63="初級",VLOOKUP($BE63,参照データ!$C$43:$U$56,14,0),IF($V63="中級",VLOOKUP($BE63,参照データ!$C$43:$U$56,15,0),IF($V63="上級",VLOOKUP($BE63,参照データ!$C$43:$U$56,16,0),"")))</f>
        <v/>
      </c>
      <c r="BX63" s="47" t="str">
        <f t="shared" si="5"/>
        <v/>
      </c>
      <c r="BY63" s="47" t="str">
        <f>IF($W63="初級",VLOOKUP($BE63,参照データ!$C$43:$U$56,17,0),IF($W63="中級",VLOOKUP($BE63,参照データ!$C$43:$U$56,18,0),IF($W63="上級",VLOOKUP($BE63,参照データ!$C$43:$U$56,19,0),"")))</f>
        <v/>
      </c>
      <c r="BZ63" s="687"/>
      <c r="CA63" s="65" t="s">
        <v>275</v>
      </c>
      <c r="CB63" s="135" t="str">
        <f t="shared" si="13"/>
        <v/>
      </c>
      <c r="CC63" s="689"/>
      <c r="CE63" s="53" t="str">
        <f>IF(AND($AZ63&gt;=参照データ!$C$67,$AZ63&lt;=参照データ!$C$65),1,IF(AND($AZ63&gt;=参照データ!$C$70,$AZ63&lt;=参照データ!$C$68),2,IF(AND($AZ63&gt;=参照データ!$C$73,$AZ63&lt;=参照データ!$C$71),3,IF(AND($AZ63&gt;=参照データ!$C$76,$AZ63&lt;=参照データ!$C$74),4,IF(AND($AZ63&gt;=参照データ!$C$79,$AZ63&lt;=参照データ!$C$77),5,IF(AND($AZ63&gt;0,$AZ63&lt;=参照データ!$C$80),6,""))))))</f>
        <v/>
      </c>
      <c r="CF63" s="141" t="str">
        <f>IF($Z63="○",(VLOOKUP($CE63,参照データ!$D$65:$J$82,2,0)),"")</f>
        <v/>
      </c>
      <c r="CG63" s="71" t="str">
        <f t="shared" si="14"/>
        <v/>
      </c>
      <c r="CH63" s="70" t="str">
        <f>IF($AB63="○",(VLOOKUP($CE63,参照データ!$D$65:$J$82,3,0)),"")</f>
        <v/>
      </c>
      <c r="CI63" s="71" t="str">
        <f t="shared" si="15"/>
        <v/>
      </c>
      <c r="CJ63" s="70" t="str">
        <f>IF($AD63="○",(VLOOKUP($CE63,参照データ!$D$65:$J$82,4,0)),"")</f>
        <v/>
      </c>
      <c r="CK63" s="71" t="str">
        <f t="shared" si="16"/>
        <v/>
      </c>
      <c r="CL63" s="70" t="str">
        <f>IF($AF63="○",(VLOOKUP($CE63,参照データ!$D$65:$J$82,5,0)),"")</f>
        <v/>
      </c>
      <c r="CM63" s="71" t="str">
        <f t="shared" si="6"/>
        <v/>
      </c>
      <c r="CN63" s="70" t="str">
        <f>IF($AH63="○",(VLOOKUP($CE63,参照データ!$D$65:$J$82,6,0)),"")</f>
        <v/>
      </c>
      <c r="CO63" s="71" t="str">
        <f t="shared" si="17"/>
        <v/>
      </c>
      <c r="CP63" s="33" t="str">
        <f t="shared" si="18"/>
        <v/>
      </c>
      <c r="CQ63" s="32" t="str">
        <f t="shared" si="19"/>
        <v/>
      </c>
      <c r="CR63" s="71" t="str">
        <f t="shared" si="20"/>
        <v/>
      </c>
      <c r="CS63" s="682"/>
      <c r="CT63" s="77" t="s">
        <v>136</v>
      </c>
      <c r="CU63" s="78" t="str">
        <f t="shared" si="21"/>
        <v/>
      </c>
      <c r="CV63" s="684"/>
      <c r="CW63" s="308" t="str">
        <f t="shared" ref="CW63" si="111">$CW62</f>
        <v/>
      </c>
      <c r="CX63" s="70"/>
      <c r="CY63" s="172" t="str">
        <f t="shared" si="22"/>
        <v/>
      </c>
      <c r="DA63" s="32"/>
      <c r="DB63" s="161" t="str">
        <f t="shared" si="23"/>
        <v/>
      </c>
      <c r="DC63" s="744"/>
      <c r="DD63" s="164" t="s">
        <v>136</v>
      </c>
      <c r="DE63" s="165" t="str">
        <f t="shared" si="44"/>
        <v/>
      </c>
      <c r="DF63" s="742"/>
      <c r="DG63" t="str">
        <f>IF($DH63="","",DATEDIF($AZ63,参照データ!$D$19,"Y"))</f>
        <v/>
      </c>
      <c r="DH63" s="253" t="str">
        <f>IFERROR(IF($BA63="男子",VLOOKUP($DO63,参照データ!$D$88:$E$117,2,0),$DO63),0)</f>
        <v/>
      </c>
      <c r="DI63" s="84" t="str">
        <f>IF($Z63="選手権",(VLOOKUP($DH63,参照データ!$D$88:$K$117,3,0)),"")</f>
        <v/>
      </c>
      <c r="DJ63" s="85" t="str">
        <f t="shared" si="83"/>
        <v/>
      </c>
      <c r="DK63" s="84" t="str">
        <f>IF($AB63="選手権",(VLOOKUP($DH63,参照データ!$D$88:$K$117,4,0)),"")</f>
        <v/>
      </c>
      <c r="DL63" s="85" t="str">
        <f t="shared" si="84"/>
        <v/>
      </c>
      <c r="DM63" s="84" t="str">
        <f>IF($AD63="選手権",(VLOOKUP($DH63,参照データ!$D$88:$K$117,5,0)),"")</f>
        <v/>
      </c>
      <c r="DN63" s="85" t="str">
        <f t="shared" si="85"/>
        <v/>
      </c>
      <c r="DO63" s="53" t="str">
        <f>IF(AND($AZ63&gt;=参照データ!$C$90,$AZ63&lt;=参照データ!$C$88),1,IF(AND($AZ63&gt;=参照データ!$C$93,$AZ63&lt;=参照データ!$C$91),2,IF(AND($AZ63&gt;=参照データ!$C$99,$AZ63&lt;=参照データ!$C$97),3,IF(AND($AZ63&gt;=参照データ!$C$105,$AZ63&lt;=参照データ!$C$103),4,IF(AND($AZ63&gt;=参照データ!$C$111,$AZ63&lt;=参照データ!$C$109),5,IF(AND($AZ63&gt;0,$AZ63&lt;=参照データ!$C$112),6,""))))))</f>
        <v/>
      </c>
      <c r="DP63" s="84" t="str">
        <f>IF($AF63="選手権",(VLOOKUP($DO63,参照データ!$D$88:$K$117,6,0)),"")</f>
        <v/>
      </c>
      <c r="DQ63" s="85" t="str">
        <f t="shared" si="10"/>
        <v/>
      </c>
      <c r="DR63" s="84" t="str">
        <f>IF($AH63="選手権",(VLOOKUP($DO63,参照データ!$D$88:$K$117,7,0)),"")</f>
        <v/>
      </c>
      <c r="DS63" s="85" t="str">
        <f t="shared" si="24"/>
        <v/>
      </c>
      <c r="DT63" s="33" t="str">
        <f t="shared" si="25"/>
        <v/>
      </c>
      <c r="DU63" s="32" t="str">
        <f t="shared" si="26"/>
        <v/>
      </c>
      <c r="DV63" s="85" t="str">
        <f t="shared" si="27"/>
        <v/>
      </c>
      <c r="DW63" s="733"/>
      <c r="DX63" s="91" t="s">
        <v>136</v>
      </c>
      <c r="DY63" s="92" t="str">
        <f t="shared" si="37"/>
        <v/>
      </c>
      <c r="DZ63" s="735"/>
      <c r="EA63" s="312" t="str">
        <f t="shared" ref="EA63" si="112">$EA62</f>
        <v/>
      </c>
      <c r="EC63" s="491" t="str">
        <f t="shared" si="28"/>
        <v/>
      </c>
      <c r="EH63" s="35">
        <f>(COUNTIF($J63:$O63,"&lt;&gt;"))*参照データ!$E$3</f>
        <v>0</v>
      </c>
      <c r="EI63" s="219" t="str">
        <f>IF(P63="○",参照データ!$E$5,"")</f>
        <v/>
      </c>
      <c r="EJ63" s="219" t="str">
        <f>IF($Y63="○",参照データ!$E$4,"")</f>
        <v/>
      </c>
      <c r="EK63" s="18">
        <f>(SUM(COUNTIF($R63:$V63,{"入門","初級"}))*参照データ!$E$9)+(SUM(COUNTIF($R63:$V63,{"中級","上級"})*参照データ!$E$10))</f>
        <v>0</v>
      </c>
      <c r="EL63" s="18">
        <f>IFERROR(VLOOKUP($W63,参照データ!$D$9:$J$11,7,0),0)</f>
        <v>0</v>
      </c>
      <c r="EM63" s="18">
        <f>((COUNTIF($Z63:$AH63,"○"))*参照データ!$E$12)</f>
        <v>0</v>
      </c>
      <c r="EN63" s="18" t="str">
        <f>(IF($AJ63="○",参照データ!$J$12,""))</f>
        <v/>
      </c>
      <c r="EQ63" s="18">
        <f>((COUNTIF($Z63:$AH63,"選手権"))*参照データ!$E$13)</f>
        <v>0</v>
      </c>
      <c r="ER63" s="18" t="str">
        <f>(IF($AJ63="選手権",参照データ!$J$13,""))</f>
        <v/>
      </c>
      <c r="ES63" s="18">
        <f>(COUNTIF($AQ63:$AR63,"&lt;&gt;"))*参照データ!$H$3</f>
        <v>0</v>
      </c>
      <c r="ET63" s="18"/>
      <c r="EU63" s="18" t="str">
        <f>IF(AV63&lt;&gt;"",参照データ!$H$15,"")</f>
        <v/>
      </c>
      <c r="EV63" s="98" cm="1">
        <f t="array" ref="EV63">SUM(IF(ISERROR(EH63:EU63),0,(EH63:EU63)))</f>
        <v>0</v>
      </c>
      <c r="EW63" s="18"/>
      <c r="EX63" s="18">
        <f t="shared" si="86"/>
        <v>0</v>
      </c>
      <c r="EY63" s="18">
        <f t="shared" si="29"/>
        <v>0</v>
      </c>
      <c r="EZ63" s="18">
        <f t="shared" si="38"/>
        <v>0</v>
      </c>
      <c r="FA63" s="18">
        <f t="shared" si="30"/>
        <v>0</v>
      </c>
      <c r="FB63" s="18">
        <f t="shared" si="31"/>
        <v>0</v>
      </c>
      <c r="FC63" s="18">
        <f t="shared" si="32"/>
        <v>0</v>
      </c>
      <c r="FD63" s="18">
        <f t="shared" si="12"/>
        <v>0</v>
      </c>
      <c r="FE63" t="str">
        <f t="shared" si="33"/>
        <v/>
      </c>
    </row>
    <row r="64" spans="1:161" ht="18.75" customHeight="1" x14ac:dyDescent="0.2">
      <c r="A64">
        <v>53</v>
      </c>
      <c r="B64" s="14" t="str">
        <f>IF(D64="","",IF(D64="重複","",COUNTIF(B$12:$B63,"&gt;0")+1))</f>
        <v/>
      </c>
      <c r="C64" s="464"/>
      <c r="D64" s="177"/>
      <c r="E64" s="177"/>
      <c r="F64" s="31"/>
      <c r="G64" s="41"/>
      <c r="H64" s="351">
        <f t="shared" si="34"/>
        <v>0</v>
      </c>
      <c r="I64" s="193" t="str">
        <f>IF($AZ64=0,"",DATEDIF($AZ64,参照データ!$D$16,"Y"))</f>
        <v/>
      </c>
      <c r="J64" s="36"/>
      <c r="K64" s="36"/>
      <c r="L64" s="36"/>
      <c r="M64" s="36"/>
      <c r="N64" s="36"/>
      <c r="O64" s="42"/>
      <c r="P64" s="345"/>
      <c r="Q64" s="345"/>
      <c r="R64" s="43"/>
      <c r="S64" s="244"/>
      <c r="T64" s="244"/>
      <c r="U64" s="244"/>
      <c r="V64" s="245"/>
      <c r="W64" s="248"/>
      <c r="X64" s="250"/>
      <c r="Y64" s="345"/>
      <c r="Z64" s="388"/>
      <c r="AA64" s="346" t="str">
        <f>IF($Z64="○",VLOOKUP($CE64,参照データ!$D$65:$M$82,9,0),IF($Z64="選手権",VLOOKUP($DH64,参照データ!$D$88:$O$117,10,0),""))</f>
        <v/>
      </c>
      <c r="AB64" s="388"/>
      <c r="AC64" s="346" t="str">
        <f>IF($AB64="○",VLOOKUP($CE64,参照データ!$D$65:$M$82,10,0),IF($AB64="選手権",VLOOKUP($DH64,参照データ!$D$88:$O$117,11,0),""))</f>
        <v/>
      </c>
      <c r="AD64" s="388"/>
      <c r="AE64" s="346" t="str">
        <f>IF($AD64="○",VLOOKUP($CE64,参照データ!$D$65:$M$82,10,0),IF($AD64="選手権",VLOOKUP($DH64,参照データ!$D$88:$O$117,11,0),""))</f>
        <v/>
      </c>
      <c r="AF64" s="388"/>
      <c r="AG64" s="346" t="str">
        <f>IF($AF64="○",VLOOKUP($CE64,参照データ!$D$65:$M$82,10,0),IF($AF64="選手権",VLOOKUP($DO64,参照データ!$D$88:$O$117,12,0),""))</f>
        <v/>
      </c>
      <c r="AH64" s="388"/>
      <c r="AI64" s="346" t="str">
        <f>IF($AH64="○",VLOOKUP($CE64,参照データ!$D$65:$M$82,10,0),IF($AH64="選手権",VLOOKUP($DO64,参照データ!$D$88:$O$117,12,0),""))</f>
        <v/>
      </c>
      <c r="AJ64" s="388"/>
      <c r="AK64" s="511"/>
      <c r="AL64" s="346" t="str">
        <f t="shared" si="80"/>
        <v/>
      </c>
      <c r="AM64" s="392"/>
      <c r="AN64" s="391"/>
      <c r="AO64" s="391"/>
      <c r="AP64" s="447"/>
      <c r="AQ64" s="321"/>
      <c r="AR64" s="481"/>
      <c r="AS64" s="393"/>
      <c r="AT64" s="483"/>
      <c r="AU64" s="393"/>
      <c r="AV64" s="529"/>
      <c r="AW64" s="483"/>
      <c r="AZ64">
        <f t="shared" si="50"/>
        <v>0</v>
      </c>
      <c r="BA64" t="str">
        <f t="shared" si="35"/>
        <v/>
      </c>
      <c r="BB64" s="132"/>
      <c r="BD64" s="513" t="str">
        <f t="shared" si="81"/>
        <v/>
      </c>
      <c r="BE64" s="53" t="str">
        <f>IF($AZ64=0,"",IF(AND($I64&gt;=6,$I64&lt;=19),VLOOKUP($I64,参照データ!$B$24:$C$37,2,0),IF($I64&lt;6,6,19)))</f>
        <v/>
      </c>
      <c r="BF64" s="155" t="str">
        <f>IF($J64="○",VLOOKUP($BE64,参照データ!$C$24:$I$37,2,0),"")</f>
        <v/>
      </c>
      <c r="BG64" s="146" t="str">
        <f>IF($K64="○",VLOOKUP($BE64,参照データ!$C$24:$I$37,3,0),"")</f>
        <v/>
      </c>
      <c r="BH64" s="146" t="str">
        <f>IF($L64="○",VLOOKUP($BE64,参照データ!$C$24:$I$37,4,0),"")</f>
        <v/>
      </c>
      <c r="BI64" s="146" t="str">
        <f>IF($M64="○",VLOOKUP($BE64,参照データ!$C$24:$I$37,5,0),"")</f>
        <v/>
      </c>
      <c r="BJ64" s="146" t="str">
        <f>IF($N64="20日",VLOOKUP($BE64,参照データ!$C$24:$I$37,6,0),"")</f>
        <v/>
      </c>
      <c r="BK64" s="156" t="str">
        <f>IF($O64="20日",VLOOKUP($BE64,参照データ!$C$24:$I$37,7,0),"")</f>
        <v/>
      </c>
      <c r="BL64" s="155" t="str">
        <f>IF($J64="21日",VLOOKUP($BE64,参照データ!$C$24:$I$37,2,0),"")</f>
        <v/>
      </c>
      <c r="BM64" s="146" t="str">
        <f>IF($K64="21日",VLOOKUP($BE64,参照データ!$C$24:$I$37,3,0),"")</f>
        <v/>
      </c>
      <c r="BN64" s="146" t="str">
        <f>IF($L64="21日",VLOOKUP($BE64,参照データ!$C$24:$I$37,4,0),"")</f>
        <v/>
      </c>
      <c r="BO64" s="146" t="str">
        <f>IF($M64="21日",VLOOKUP($BE64,参照データ!$C$24:$I$37,5,0),"")</f>
        <v/>
      </c>
      <c r="BP64" s="146" t="str">
        <f>IF($N64="21日",VLOOKUP($BE64,参照データ!$C$24:$I$37,6,0),"")</f>
        <v/>
      </c>
      <c r="BQ64" s="156" t="str">
        <f>IF($O64="21日",VLOOKUP($BE64,参照データ!$C$24:$I$37,7,0),"")</f>
        <v/>
      </c>
      <c r="BR64" s="223" t="str">
        <f t="shared" si="42"/>
        <v/>
      </c>
      <c r="BS64" s="154" t="str">
        <f>IF($R64="入門",VLOOKUP($BE64,参照データ!$C$43:$U$56,2,0),IF($R64="初級",VLOOKUP($BE64,参照データ!$C$43:$U$56,3,0),IF($R64="中級",VLOOKUP($BE64,参照データ!$C$43:$U$56,4,0),IF($R64="上級",VLOOKUP($BE64,参照データ!$C$43:$U$56,5,0),""))))</f>
        <v/>
      </c>
      <c r="BT64" s="154" t="str">
        <f>IF($S64="初級",VLOOKUP($BE64,参照データ!$C$43:$U$56,6,0),IF($S64="中級",VLOOKUP($BE64,参照データ!$C$43:$U$56,7,0),IF($S64="上級",VLOOKUP($BE64,参照データ!$C$43:$U$56,8,0),"")))</f>
        <v/>
      </c>
      <c r="BU64" s="154" t="str">
        <f>IF($T64="初級",VLOOKUP($BE64,参照データ!$C$43:$U$56,9,0),IF($T64="上級",VLOOKUP($BE64,参照データ!$C$43:$U$56,10,0),""))</f>
        <v/>
      </c>
      <c r="BV64" s="154" t="str">
        <f>IF($U64="初級",VLOOKUP($BE64,参照データ!$C$43:$U$56,11,0),IF($U64="中級",VLOOKUP($BE64,参照データ!$C$43:$U$56,12,0),IF($U64="上級",VLOOKUP($BE64,参照データ!$C$43:$U$56,13,0),"")))</f>
        <v/>
      </c>
      <c r="BW64" s="154" t="str">
        <f>IF($V64="初級",VLOOKUP($BE64,参照データ!$C$43:$U$56,14,0),IF($V64="中級",VLOOKUP($BE64,参照データ!$C$43:$U$56,15,0),IF($V64="上級",VLOOKUP($BE64,参照データ!$C$43:$U$56,16,0),"")))</f>
        <v/>
      </c>
      <c r="BX64" s="47" t="str">
        <f t="shared" si="5"/>
        <v/>
      </c>
      <c r="BY64" s="47" t="str">
        <f>IF($W64="初級",VLOOKUP($BE64,参照データ!$C$43:$U$56,17,0),IF($W64="中級",VLOOKUP($BE64,参照データ!$C$43:$U$56,18,0),IF($W64="上級",VLOOKUP($BE64,参照データ!$C$43:$U$56,19,0),"")))</f>
        <v/>
      </c>
      <c r="BZ64" s="686">
        <v>27</v>
      </c>
      <c r="CA64" s="66" t="s">
        <v>276</v>
      </c>
      <c r="CB64" s="136" t="str">
        <f t="shared" si="13"/>
        <v/>
      </c>
      <c r="CC64" s="688" t="str">
        <f t="shared" ref="CC64" si="113">IF(OR($CB64="",$CB65=""),"",IF($CB64&gt;$CB65,$CB64,$CB65))</f>
        <v/>
      </c>
      <c r="CE64" s="53" t="str">
        <f>IF(AND($AZ64&gt;=参照データ!$C$67,$AZ64&lt;=参照データ!$C$65),1,IF(AND($AZ64&gt;=参照データ!$C$70,$AZ64&lt;=参照データ!$C$68),2,IF(AND($AZ64&gt;=参照データ!$C$73,$AZ64&lt;=参照データ!$C$71),3,IF(AND($AZ64&gt;=参照データ!$C$76,$AZ64&lt;=参照データ!$C$74),4,IF(AND($AZ64&gt;=参照データ!$C$79,$AZ64&lt;=参照データ!$C$77),5,IF(AND($AZ64&gt;0,$AZ64&lt;=参照データ!$C$80),6,""))))))</f>
        <v/>
      </c>
      <c r="CF64" s="141" t="str">
        <f>IF($Z64="○",(VLOOKUP($CE64,参照データ!$D$65:$J$82,2,0)),"")</f>
        <v/>
      </c>
      <c r="CG64" s="71" t="str">
        <f t="shared" si="14"/>
        <v/>
      </c>
      <c r="CH64" s="70" t="str">
        <f>IF($AB64="○",(VLOOKUP($CE64,参照データ!$D$65:$J$82,3,0)),"")</f>
        <v/>
      </c>
      <c r="CI64" s="71" t="str">
        <f t="shared" si="15"/>
        <v/>
      </c>
      <c r="CJ64" s="70" t="str">
        <f>IF($AD64="○",(VLOOKUP($CE64,参照データ!$D$65:$J$82,4,0)),"")</f>
        <v/>
      </c>
      <c r="CK64" s="71" t="str">
        <f t="shared" si="16"/>
        <v/>
      </c>
      <c r="CL64" s="70" t="str">
        <f>IF($AF64="○",(VLOOKUP($CE64,参照データ!$D$65:$J$82,5,0)),"")</f>
        <v/>
      </c>
      <c r="CM64" s="71" t="str">
        <f t="shared" si="6"/>
        <v/>
      </c>
      <c r="CN64" s="70" t="str">
        <f>IF($AH64="○",(VLOOKUP($CE64,参照データ!$D$65:$J$82,6,0)),"")</f>
        <v/>
      </c>
      <c r="CO64" s="71" t="str">
        <f t="shared" si="17"/>
        <v/>
      </c>
      <c r="CP64" s="33" t="str">
        <f t="shared" si="18"/>
        <v/>
      </c>
      <c r="CQ64" s="32" t="str">
        <f t="shared" si="19"/>
        <v/>
      </c>
      <c r="CR64" s="71" t="str">
        <f t="shared" si="20"/>
        <v/>
      </c>
      <c r="CS64" s="681">
        <v>27</v>
      </c>
      <c r="CT64" s="79" t="s">
        <v>137</v>
      </c>
      <c r="CU64" s="80" t="str">
        <f t="shared" si="21"/>
        <v/>
      </c>
      <c r="CV64" s="683" t="e">
        <f>IF($CU64&gt;$CU65,VLOOKUP($CU64,参照データ!$D$65:$J$82,7,0),VLOOKUP($CU65,参照データ!$D$65:$J$82,7,0))</f>
        <v>#N/A</v>
      </c>
      <c r="CW64" s="308" t="str">
        <f>IFERROR(VLOOKUP($CV64,参照データ!$J$65:$M$82,4,0),"")</f>
        <v/>
      </c>
      <c r="CX64" s="70"/>
      <c r="CY64" s="172" t="str">
        <f t="shared" si="22"/>
        <v/>
      </c>
      <c r="DA64" s="32"/>
      <c r="DB64" s="161" t="str">
        <f t="shared" si="23"/>
        <v/>
      </c>
      <c r="DC64" s="743">
        <v>27</v>
      </c>
      <c r="DD64" s="166" t="s">
        <v>137</v>
      </c>
      <c r="DE64" s="167" t="str">
        <f t="shared" si="44"/>
        <v/>
      </c>
      <c r="DF64" s="741" t="str">
        <f>IF(OR(DE64="",DE65=""),"",IF(DE64&gt;DE65,DE64,DE65))</f>
        <v/>
      </c>
      <c r="DG64" t="str">
        <f>IF($DH64="","",DATEDIF($AZ64,参照データ!$D$19,"Y"))</f>
        <v/>
      </c>
      <c r="DH64" s="253" t="str">
        <f>IFERROR(IF($BA64="男子",VLOOKUP($DO64,参照データ!$D$88:$E$117,2,0),$DO64),0)</f>
        <v/>
      </c>
      <c r="DI64" s="84" t="str">
        <f>IF($Z64="選手権",(VLOOKUP($DH64,参照データ!$D$88:$K$117,3,0)),"")</f>
        <v/>
      </c>
      <c r="DJ64" s="85" t="str">
        <f t="shared" si="83"/>
        <v/>
      </c>
      <c r="DK64" s="84" t="str">
        <f>IF($AB64="選手権",(VLOOKUP($DH64,参照データ!$D$88:$K$117,4,0)),"")</f>
        <v/>
      </c>
      <c r="DL64" s="85" t="str">
        <f t="shared" si="84"/>
        <v/>
      </c>
      <c r="DM64" s="84" t="str">
        <f>IF($AD64="選手権",(VLOOKUP($DH64,参照データ!$D$88:$K$117,5,0)),"")</f>
        <v/>
      </c>
      <c r="DN64" s="85" t="str">
        <f t="shared" si="85"/>
        <v/>
      </c>
      <c r="DO64" s="53" t="str">
        <f>IF(AND($AZ64&gt;=参照データ!$C$90,$AZ64&lt;=参照データ!$C$88),1,IF(AND($AZ64&gt;=参照データ!$C$93,$AZ64&lt;=参照データ!$C$91),2,IF(AND($AZ64&gt;=参照データ!$C$99,$AZ64&lt;=参照データ!$C$97),3,IF(AND($AZ64&gt;=参照データ!$C$105,$AZ64&lt;=参照データ!$C$103),4,IF(AND($AZ64&gt;=参照データ!$C$111,$AZ64&lt;=参照データ!$C$109),5,IF(AND($AZ64&gt;0,$AZ64&lt;=参照データ!$C$112),6,""))))))</f>
        <v/>
      </c>
      <c r="DP64" s="84" t="str">
        <f>IF($AF64="選手権",(VLOOKUP($DO64,参照データ!$D$88:$K$117,6,0)),"")</f>
        <v/>
      </c>
      <c r="DQ64" s="85" t="str">
        <f t="shared" si="10"/>
        <v/>
      </c>
      <c r="DR64" s="84" t="str">
        <f>IF($AH64="選手権",(VLOOKUP($DO64,参照データ!$D$88:$K$117,7,0)),"")</f>
        <v/>
      </c>
      <c r="DS64" s="85" t="str">
        <f t="shared" si="24"/>
        <v/>
      </c>
      <c r="DT64" s="33" t="str">
        <f t="shared" si="25"/>
        <v/>
      </c>
      <c r="DU64" s="32" t="str">
        <f t="shared" si="26"/>
        <v/>
      </c>
      <c r="DV64" s="85" t="str">
        <f t="shared" si="27"/>
        <v/>
      </c>
      <c r="DW64" s="736">
        <v>27</v>
      </c>
      <c r="DX64" s="93" t="s">
        <v>137</v>
      </c>
      <c r="DY64" s="94" t="str">
        <f t="shared" si="37"/>
        <v/>
      </c>
      <c r="DZ64" s="737" t="e">
        <f>IF($DY64&gt;$DY65,VLOOKUP($DY64,参照データ!$D$88:$K$117,8,0),VLOOKUP($DY65,参照データ!$D$88:$K$117,8,0))</f>
        <v>#N/A</v>
      </c>
      <c r="EA64" s="312" t="str">
        <f>IFERROR(VLOOKUP($DZ64,参照データ!$K$88:$O$117,5,0),"")</f>
        <v/>
      </c>
      <c r="EC64" s="491" t="str">
        <f t="shared" si="28"/>
        <v/>
      </c>
      <c r="EH64" s="35">
        <f>(COUNTIF($J64:$O64,"&lt;&gt;"))*参照データ!$E$3</f>
        <v>0</v>
      </c>
      <c r="EI64" s="219" t="str">
        <f>IF(P64="○",参照データ!$E$5,"")</f>
        <v/>
      </c>
      <c r="EJ64" s="219" t="str">
        <f>IF($Y64="○",参照データ!$E$4,"")</f>
        <v/>
      </c>
      <c r="EK64" s="18">
        <f>(SUM(COUNTIF($R64:$V64,{"入門","初級"}))*参照データ!$E$9)+(SUM(COUNTIF($R64:$V64,{"中級","上級"})*参照データ!$E$10))</f>
        <v>0</v>
      </c>
      <c r="EL64" s="18">
        <f>IFERROR(VLOOKUP($W64,参照データ!$D$9:$J$11,7,0),0)</f>
        <v>0</v>
      </c>
      <c r="EM64" s="18">
        <f>((COUNTIF($Z64:$AH64,"○"))*参照データ!$E$12)</f>
        <v>0</v>
      </c>
      <c r="EN64" s="18" t="str">
        <f>(IF($AJ64="○",参照データ!$J$12,""))</f>
        <v/>
      </c>
      <c r="EQ64" s="18">
        <f>((COUNTIF($Z64:$AH64,"選手権"))*参照データ!$E$13)</f>
        <v>0</v>
      </c>
      <c r="ER64" s="18" t="str">
        <f>(IF($AJ64="選手権",参照データ!$J$13,""))</f>
        <v/>
      </c>
      <c r="ES64" s="18">
        <f>(COUNTIF($AQ64:$AR64,"&lt;&gt;"))*参照データ!$H$3</f>
        <v>0</v>
      </c>
      <c r="ET64" s="18"/>
      <c r="EU64" s="18" t="str">
        <f>IF(AV64&lt;&gt;"",参照データ!$H$15,"")</f>
        <v/>
      </c>
      <c r="EV64" s="98" cm="1">
        <f t="array" ref="EV64">SUM(IF(ISERROR(EH64:EU64),0,(EH64:EU64)))</f>
        <v>0</v>
      </c>
      <c r="EW64" s="18"/>
      <c r="EX64" s="18">
        <f t="shared" si="86"/>
        <v>0</v>
      </c>
      <c r="EY64" s="18">
        <f t="shared" si="29"/>
        <v>0</v>
      </c>
      <c r="EZ64" s="18">
        <f t="shared" si="38"/>
        <v>0</v>
      </c>
      <c r="FA64" s="18">
        <f t="shared" si="30"/>
        <v>0</v>
      </c>
      <c r="FB64" s="18">
        <f t="shared" si="31"/>
        <v>0</v>
      </c>
      <c r="FC64" s="18">
        <f t="shared" si="32"/>
        <v>0</v>
      </c>
      <c r="FD64" s="18">
        <f t="shared" si="12"/>
        <v>0</v>
      </c>
      <c r="FE64" t="str">
        <f t="shared" si="33"/>
        <v/>
      </c>
    </row>
    <row r="65" spans="1:161" ht="18.75" customHeight="1" x14ac:dyDescent="0.2">
      <c r="A65">
        <v>54</v>
      </c>
      <c r="B65" s="14" t="str">
        <f>IF(D65="","",IF(D65="重複","",COUNTIF(B$12:$B64,"&gt;0")+1))</f>
        <v/>
      </c>
      <c r="C65" s="464"/>
      <c r="D65" s="177"/>
      <c r="E65" s="177"/>
      <c r="F65" s="31"/>
      <c r="G65" s="41"/>
      <c r="H65" s="351">
        <f t="shared" si="34"/>
        <v>0</v>
      </c>
      <c r="I65" s="193" t="str">
        <f>IF($AZ65=0,"",DATEDIF($AZ65,参照データ!$D$16,"Y"))</f>
        <v/>
      </c>
      <c r="J65" s="36"/>
      <c r="K65" s="36"/>
      <c r="L65" s="36"/>
      <c r="M65" s="36"/>
      <c r="N65" s="36"/>
      <c r="O65" s="42"/>
      <c r="P65" s="345"/>
      <c r="Q65" s="345"/>
      <c r="R65" s="43"/>
      <c r="S65" s="244"/>
      <c r="T65" s="244"/>
      <c r="U65" s="244"/>
      <c r="V65" s="245"/>
      <c r="W65" s="248"/>
      <c r="X65" s="250"/>
      <c r="Y65" s="345"/>
      <c r="Z65" s="388"/>
      <c r="AA65" s="346" t="str">
        <f>IF($Z65="○",VLOOKUP($CE65,参照データ!$D$65:$M$82,9,0),IF($Z65="選手権",VLOOKUP($DH65,参照データ!$D$88:$O$117,10,0),""))</f>
        <v/>
      </c>
      <c r="AB65" s="388"/>
      <c r="AC65" s="346" t="str">
        <f>IF($AB65="○",VLOOKUP($CE65,参照データ!$D$65:$M$82,10,0),IF($AB65="選手権",VLOOKUP($DH65,参照データ!$D$88:$O$117,11,0),""))</f>
        <v/>
      </c>
      <c r="AD65" s="388"/>
      <c r="AE65" s="346" t="str">
        <f>IF($AD65="○",VLOOKUP($CE65,参照データ!$D$65:$M$82,10,0),IF($AD65="選手権",VLOOKUP($DH65,参照データ!$D$88:$O$117,11,0),""))</f>
        <v/>
      </c>
      <c r="AF65" s="388"/>
      <c r="AG65" s="346" t="str">
        <f>IF($AF65="○",VLOOKUP($CE65,参照データ!$D$65:$M$82,10,0),IF($AF65="選手権",VLOOKUP($DO65,参照データ!$D$88:$O$117,12,0),""))</f>
        <v/>
      </c>
      <c r="AH65" s="388"/>
      <c r="AI65" s="346" t="str">
        <f>IF($AH65="○",VLOOKUP($CE65,参照データ!$D$65:$M$82,10,0),IF($AH65="選手権",VLOOKUP($DO65,参照データ!$D$88:$O$117,12,0),""))</f>
        <v/>
      </c>
      <c r="AJ65" s="388"/>
      <c r="AK65" s="511"/>
      <c r="AL65" s="346" t="str">
        <f t="shared" si="80"/>
        <v/>
      </c>
      <c r="AM65" s="392"/>
      <c r="AN65" s="391"/>
      <c r="AO65" s="391"/>
      <c r="AP65" s="447"/>
      <c r="AQ65" s="321"/>
      <c r="AR65" s="481"/>
      <c r="AS65" s="393"/>
      <c r="AT65" s="483"/>
      <c r="AU65" s="393"/>
      <c r="AV65" s="529"/>
      <c r="AW65" s="483"/>
      <c r="AZ65">
        <f t="shared" si="50"/>
        <v>0</v>
      </c>
      <c r="BA65" t="str">
        <f t="shared" si="35"/>
        <v/>
      </c>
      <c r="BB65" s="132"/>
      <c r="BD65" s="513" t="str">
        <f t="shared" si="81"/>
        <v/>
      </c>
      <c r="BE65" s="53" t="str">
        <f>IF($AZ65=0,"",IF(AND($I65&gt;=6,$I65&lt;=19),VLOOKUP($I65,参照データ!$B$24:$C$37,2,0),IF($I65&lt;6,6,19)))</f>
        <v/>
      </c>
      <c r="BF65" s="155" t="str">
        <f>IF($J65="○",VLOOKUP($BE65,参照データ!$C$24:$I$37,2,0),"")</f>
        <v/>
      </c>
      <c r="BG65" s="146" t="str">
        <f>IF($K65="○",VLOOKUP($BE65,参照データ!$C$24:$I$37,3,0),"")</f>
        <v/>
      </c>
      <c r="BH65" s="146" t="str">
        <f>IF($L65="○",VLOOKUP($BE65,参照データ!$C$24:$I$37,4,0),"")</f>
        <v/>
      </c>
      <c r="BI65" s="146" t="str">
        <f>IF($M65="○",VLOOKUP($BE65,参照データ!$C$24:$I$37,5,0),"")</f>
        <v/>
      </c>
      <c r="BJ65" s="146" t="str">
        <f>IF($N65="20日",VLOOKUP($BE65,参照データ!$C$24:$I$37,6,0),"")</f>
        <v/>
      </c>
      <c r="BK65" s="156" t="str">
        <f>IF($O65="20日",VLOOKUP($BE65,参照データ!$C$24:$I$37,7,0),"")</f>
        <v/>
      </c>
      <c r="BL65" s="155" t="str">
        <f>IF($J65="21日",VLOOKUP($BE65,参照データ!$C$24:$I$37,2,0),"")</f>
        <v/>
      </c>
      <c r="BM65" s="146" t="str">
        <f>IF($K65="21日",VLOOKUP($BE65,参照データ!$C$24:$I$37,3,0),"")</f>
        <v/>
      </c>
      <c r="BN65" s="146" t="str">
        <f>IF($L65="21日",VLOOKUP($BE65,参照データ!$C$24:$I$37,4,0),"")</f>
        <v/>
      </c>
      <c r="BO65" s="146" t="str">
        <f>IF($M65="21日",VLOOKUP($BE65,参照データ!$C$24:$I$37,5,0),"")</f>
        <v/>
      </c>
      <c r="BP65" s="146" t="str">
        <f>IF($N65="21日",VLOOKUP($BE65,参照データ!$C$24:$I$37,6,0),"")</f>
        <v/>
      </c>
      <c r="BQ65" s="156" t="str">
        <f>IF($O65="21日",VLOOKUP($BE65,参照データ!$C$24:$I$37,7,0),"")</f>
        <v/>
      </c>
      <c r="BR65" s="223" t="str">
        <f t="shared" si="42"/>
        <v/>
      </c>
      <c r="BS65" s="154" t="str">
        <f>IF($R65="入門",VLOOKUP($BE65,参照データ!$C$43:$U$56,2,0),IF($R65="初級",VLOOKUP($BE65,参照データ!$C$43:$U$56,3,0),IF($R65="中級",VLOOKUP($BE65,参照データ!$C$43:$U$56,4,0),IF($R65="上級",VLOOKUP($BE65,参照データ!$C$43:$U$56,5,0),""))))</f>
        <v/>
      </c>
      <c r="BT65" s="154" t="str">
        <f>IF($S65="初級",VLOOKUP($BE65,参照データ!$C$43:$U$56,6,0),IF($S65="中級",VLOOKUP($BE65,参照データ!$C$43:$U$56,7,0),IF($S65="上級",VLOOKUP($BE65,参照データ!$C$43:$U$56,8,0),"")))</f>
        <v/>
      </c>
      <c r="BU65" s="154" t="str">
        <f>IF($T65="初級",VLOOKUP($BE65,参照データ!$C$43:$U$56,9,0),IF($T65="上級",VLOOKUP($BE65,参照データ!$C$43:$U$56,10,0),""))</f>
        <v/>
      </c>
      <c r="BV65" s="154" t="str">
        <f>IF($U65="初級",VLOOKUP($BE65,参照データ!$C$43:$U$56,11,0),IF($U65="中級",VLOOKUP($BE65,参照データ!$C$43:$U$56,12,0),IF($U65="上級",VLOOKUP($BE65,参照データ!$C$43:$U$56,13,0),"")))</f>
        <v/>
      </c>
      <c r="BW65" s="154" t="str">
        <f>IF($V65="初級",VLOOKUP($BE65,参照データ!$C$43:$U$56,14,0),IF($V65="中級",VLOOKUP($BE65,参照データ!$C$43:$U$56,15,0),IF($V65="上級",VLOOKUP($BE65,参照データ!$C$43:$U$56,16,0),"")))</f>
        <v/>
      </c>
      <c r="BX65" s="47" t="str">
        <f t="shared" si="5"/>
        <v/>
      </c>
      <c r="BY65" s="47" t="str">
        <f>IF($W65="初級",VLOOKUP($BE65,参照データ!$C$43:$U$56,17,0),IF($W65="中級",VLOOKUP($BE65,参照データ!$C$43:$U$56,18,0),IF($W65="上級",VLOOKUP($BE65,参照データ!$C$43:$U$56,19,0),"")))</f>
        <v/>
      </c>
      <c r="BZ65" s="687"/>
      <c r="CA65" s="65" t="s">
        <v>277</v>
      </c>
      <c r="CB65" s="135" t="str">
        <f t="shared" si="13"/>
        <v/>
      </c>
      <c r="CC65" s="689"/>
      <c r="CE65" s="53" t="str">
        <f>IF(AND($AZ65&gt;=参照データ!$C$67,$AZ65&lt;=参照データ!$C$65),1,IF(AND($AZ65&gt;=参照データ!$C$70,$AZ65&lt;=参照データ!$C$68),2,IF(AND($AZ65&gt;=参照データ!$C$73,$AZ65&lt;=参照データ!$C$71),3,IF(AND($AZ65&gt;=参照データ!$C$76,$AZ65&lt;=参照データ!$C$74),4,IF(AND($AZ65&gt;=参照データ!$C$79,$AZ65&lt;=参照データ!$C$77),5,IF(AND($AZ65&gt;0,$AZ65&lt;=参照データ!$C$80),6,""))))))</f>
        <v/>
      </c>
      <c r="CF65" s="141" t="str">
        <f>IF($Z65="○",(VLOOKUP($CE65,参照データ!$D$65:$J$82,2,0)),"")</f>
        <v/>
      </c>
      <c r="CG65" s="71" t="str">
        <f t="shared" si="14"/>
        <v/>
      </c>
      <c r="CH65" s="70" t="str">
        <f>IF($AB65="○",(VLOOKUP($CE65,参照データ!$D$65:$J$82,3,0)),"")</f>
        <v/>
      </c>
      <c r="CI65" s="71" t="str">
        <f t="shared" si="15"/>
        <v/>
      </c>
      <c r="CJ65" s="70" t="str">
        <f>IF($AD65="○",(VLOOKUP($CE65,参照データ!$D$65:$J$82,4,0)),"")</f>
        <v/>
      </c>
      <c r="CK65" s="71" t="str">
        <f t="shared" si="16"/>
        <v/>
      </c>
      <c r="CL65" s="70" t="str">
        <f>IF($AF65="○",(VLOOKUP($CE65,参照データ!$D$65:$J$82,5,0)),"")</f>
        <v/>
      </c>
      <c r="CM65" s="71" t="str">
        <f t="shared" si="6"/>
        <v/>
      </c>
      <c r="CN65" s="70" t="str">
        <f>IF($AH65="○",(VLOOKUP($CE65,参照データ!$D$65:$J$82,6,0)),"")</f>
        <v/>
      </c>
      <c r="CO65" s="71" t="str">
        <f t="shared" si="17"/>
        <v/>
      </c>
      <c r="CP65" s="33" t="str">
        <f t="shared" si="18"/>
        <v/>
      </c>
      <c r="CQ65" s="32" t="str">
        <f t="shared" si="19"/>
        <v/>
      </c>
      <c r="CR65" s="71" t="str">
        <f t="shared" si="20"/>
        <v/>
      </c>
      <c r="CS65" s="682"/>
      <c r="CT65" s="77" t="s">
        <v>138</v>
      </c>
      <c r="CU65" s="78" t="str">
        <f t="shared" si="21"/>
        <v/>
      </c>
      <c r="CV65" s="684"/>
      <c r="CW65" s="308" t="str">
        <f t="shared" ref="CW65" si="114">$CW64</f>
        <v/>
      </c>
      <c r="CX65" s="70"/>
      <c r="CY65" s="172" t="str">
        <f t="shared" si="22"/>
        <v/>
      </c>
      <c r="DA65" s="32"/>
      <c r="DB65" s="161" t="str">
        <f t="shared" si="23"/>
        <v/>
      </c>
      <c r="DC65" s="744"/>
      <c r="DD65" s="164" t="s">
        <v>138</v>
      </c>
      <c r="DE65" s="165" t="str">
        <f t="shared" si="44"/>
        <v/>
      </c>
      <c r="DF65" s="742"/>
      <c r="DG65" t="str">
        <f>IF($DH65="","",DATEDIF($AZ65,参照データ!$D$19,"Y"))</f>
        <v/>
      </c>
      <c r="DH65" s="253" t="str">
        <f>IFERROR(IF($BA65="男子",VLOOKUP($DO65,参照データ!$D$88:$E$117,2,0),$DO65),0)</f>
        <v/>
      </c>
      <c r="DI65" s="84" t="str">
        <f>IF($Z65="選手権",(VLOOKUP($DH65,参照データ!$D$88:$K$117,3,0)),"")</f>
        <v/>
      </c>
      <c r="DJ65" s="85" t="str">
        <f t="shared" si="83"/>
        <v/>
      </c>
      <c r="DK65" s="84" t="str">
        <f>IF($AB65="選手権",(VLOOKUP($DH65,参照データ!$D$88:$K$117,4,0)),"")</f>
        <v/>
      </c>
      <c r="DL65" s="85" t="str">
        <f t="shared" si="84"/>
        <v/>
      </c>
      <c r="DM65" s="84" t="str">
        <f>IF($AD65="選手権",(VLOOKUP($DH65,参照データ!$D$88:$K$117,5,0)),"")</f>
        <v/>
      </c>
      <c r="DN65" s="85" t="str">
        <f t="shared" si="85"/>
        <v/>
      </c>
      <c r="DO65" s="53" t="str">
        <f>IF(AND($AZ65&gt;=参照データ!$C$90,$AZ65&lt;=参照データ!$C$88),1,IF(AND($AZ65&gt;=参照データ!$C$93,$AZ65&lt;=参照データ!$C$91),2,IF(AND($AZ65&gt;=参照データ!$C$99,$AZ65&lt;=参照データ!$C$97),3,IF(AND($AZ65&gt;=参照データ!$C$105,$AZ65&lt;=参照データ!$C$103),4,IF(AND($AZ65&gt;=参照データ!$C$111,$AZ65&lt;=参照データ!$C$109),5,IF(AND($AZ65&gt;0,$AZ65&lt;=参照データ!$C$112),6,""))))))</f>
        <v/>
      </c>
      <c r="DP65" s="84" t="str">
        <f>IF($AF65="選手権",(VLOOKUP($DO65,参照データ!$D$88:$K$117,6,0)),"")</f>
        <v/>
      </c>
      <c r="DQ65" s="85" t="str">
        <f t="shared" si="10"/>
        <v/>
      </c>
      <c r="DR65" s="84" t="str">
        <f>IF($AH65="選手権",(VLOOKUP($DO65,参照データ!$D$88:$K$117,7,0)),"")</f>
        <v/>
      </c>
      <c r="DS65" s="85" t="str">
        <f t="shared" si="24"/>
        <v/>
      </c>
      <c r="DT65" s="33" t="str">
        <f t="shared" si="25"/>
        <v/>
      </c>
      <c r="DU65" s="32" t="str">
        <f t="shared" si="26"/>
        <v/>
      </c>
      <c r="DV65" s="85" t="str">
        <f t="shared" si="27"/>
        <v/>
      </c>
      <c r="DW65" s="733"/>
      <c r="DX65" s="91" t="s">
        <v>138</v>
      </c>
      <c r="DY65" s="92" t="str">
        <f t="shared" si="37"/>
        <v/>
      </c>
      <c r="DZ65" s="735"/>
      <c r="EA65" s="312" t="str">
        <f t="shared" ref="EA65" si="115">$EA64</f>
        <v/>
      </c>
      <c r="EC65" s="491" t="str">
        <f t="shared" si="28"/>
        <v/>
      </c>
      <c r="EH65" s="35">
        <f>(COUNTIF($J65:$O65,"&lt;&gt;"))*参照データ!$E$3</f>
        <v>0</v>
      </c>
      <c r="EI65" s="219" t="str">
        <f>IF(P65="○",参照データ!$E$5,"")</f>
        <v/>
      </c>
      <c r="EJ65" s="219" t="str">
        <f>IF($Y65="○",参照データ!$E$4,"")</f>
        <v/>
      </c>
      <c r="EK65" s="18">
        <f>(SUM(COUNTIF($R65:$V65,{"入門","初級"}))*参照データ!$E$9)+(SUM(COUNTIF($R65:$V65,{"中級","上級"})*参照データ!$E$10))</f>
        <v>0</v>
      </c>
      <c r="EL65" s="18">
        <f>IFERROR(VLOOKUP($W65,参照データ!$D$9:$J$11,7,0),0)</f>
        <v>0</v>
      </c>
      <c r="EM65" s="18">
        <f>((COUNTIF($Z65:$AH65,"○"))*参照データ!$E$12)</f>
        <v>0</v>
      </c>
      <c r="EN65" s="18" t="str">
        <f>(IF($AJ65="○",参照データ!$J$12,""))</f>
        <v/>
      </c>
      <c r="EQ65" s="18">
        <f>((COUNTIF($Z65:$AH65,"選手権"))*参照データ!$E$13)</f>
        <v>0</v>
      </c>
      <c r="ER65" s="18" t="str">
        <f>(IF($AJ65="選手権",参照データ!$J$13,""))</f>
        <v/>
      </c>
      <c r="ES65" s="18">
        <f>(COUNTIF($AQ65:$AR65,"&lt;&gt;"))*参照データ!$H$3</f>
        <v>0</v>
      </c>
      <c r="ET65" s="18"/>
      <c r="EU65" s="18" t="str">
        <f>IF(AV65&lt;&gt;"",参照データ!$H$15,"")</f>
        <v/>
      </c>
      <c r="EV65" s="98" cm="1">
        <f t="array" ref="EV65">SUM(IF(ISERROR(EH65:EU65),0,(EH65:EU65)))</f>
        <v>0</v>
      </c>
      <c r="EW65" s="18"/>
      <c r="EX65" s="18">
        <f t="shared" si="86"/>
        <v>0</v>
      </c>
      <c r="EY65" s="18">
        <f t="shared" si="29"/>
        <v>0</v>
      </c>
      <c r="EZ65" s="18">
        <f t="shared" si="38"/>
        <v>0</v>
      </c>
      <c r="FA65" s="18">
        <f t="shared" si="30"/>
        <v>0</v>
      </c>
      <c r="FB65" s="18">
        <f t="shared" si="31"/>
        <v>0</v>
      </c>
      <c r="FC65" s="18">
        <f t="shared" si="32"/>
        <v>0</v>
      </c>
      <c r="FD65" s="18">
        <f t="shared" si="12"/>
        <v>0</v>
      </c>
      <c r="FE65" t="str">
        <f t="shared" si="33"/>
        <v/>
      </c>
    </row>
    <row r="66" spans="1:161" ht="18.75" customHeight="1" x14ac:dyDescent="0.2">
      <c r="A66">
        <v>55</v>
      </c>
      <c r="B66" s="14" t="str">
        <f>IF(D66="","",IF(D66="重複","",COUNTIF(B$12:$B65,"&gt;0")+1))</f>
        <v/>
      </c>
      <c r="C66" s="464"/>
      <c r="D66" s="177"/>
      <c r="E66" s="177"/>
      <c r="F66" s="31"/>
      <c r="G66" s="41"/>
      <c r="H66" s="351">
        <f t="shared" si="34"/>
        <v>0</v>
      </c>
      <c r="I66" s="193" t="str">
        <f>IF($AZ66=0,"",DATEDIF($AZ66,参照データ!$D$16,"Y"))</f>
        <v/>
      </c>
      <c r="J66" s="36"/>
      <c r="K66" s="36"/>
      <c r="L66" s="36"/>
      <c r="M66" s="36"/>
      <c r="N66" s="36"/>
      <c r="O66" s="42"/>
      <c r="P66" s="345"/>
      <c r="Q66" s="345"/>
      <c r="R66" s="43"/>
      <c r="S66" s="244"/>
      <c r="T66" s="244"/>
      <c r="U66" s="244"/>
      <c r="V66" s="245"/>
      <c r="W66" s="248"/>
      <c r="X66" s="250"/>
      <c r="Y66" s="345"/>
      <c r="Z66" s="388"/>
      <c r="AA66" s="346" t="str">
        <f>IF($Z66="○",VLOOKUP($CE66,参照データ!$D$65:$M$82,9,0),IF($Z66="選手権",VLOOKUP($DH66,参照データ!$D$88:$O$117,10,0),""))</f>
        <v/>
      </c>
      <c r="AB66" s="388"/>
      <c r="AC66" s="346" t="str">
        <f>IF($AB66="○",VLOOKUP($CE66,参照データ!$D$65:$M$82,10,0),IF($AB66="選手権",VLOOKUP($DH66,参照データ!$D$88:$O$117,11,0),""))</f>
        <v/>
      </c>
      <c r="AD66" s="388"/>
      <c r="AE66" s="346" t="str">
        <f>IF($AD66="○",VLOOKUP($CE66,参照データ!$D$65:$M$82,10,0),IF($AD66="選手権",VLOOKUP($DH66,参照データ!$D$88:$O$117,11,0),""))</f>
        <v/>
      </c>
      <c r="AF66" s="388"/>
      <c r="AG66" s="346" t="str">
        <f>IF($AF66="○",VLOOKUP($CE66,参照データ!$D$65:$M$82,10,0),IF($AF66="選手権",VLOOKUP($DO66,参照データ!$D$88:$O$117,12,0),""))</f>
        <v/>
      </c>
      <c r="AH66" s="388"/>
      <c r="AI66" s="346" t="str">
        <f>IF($AH66="○",VLOOKUP($CE66,参照データ!$D$65:$M$82,10,0),IF($AH66="選手権",VLOOKUP($DO66,参照データ!$D$88:$O$117,12,0),""))</f>
        <v/>
      </c>
      <c r="AJ66" s="388"/>
      <c r="AK66" s="511"/>
      <c r="AL66" s="346" t="str">
        <f t="shared" si="80"/>
        <v/>
      </c>
      <c r="AM66" s="392"/>
      <c r="AN66" s="391"/>
      <c r="AO66" s="391"/>
      <c r="AP66" s="447"/>
      <c r="AQ66" s="321"/>
      <c r="AR66" s="481"/>
      <c r="AS66" s="393"/>
      <c r="AT66" s="483"/>
      <c r="AU66" s="393"/>
      <c r="AV66" s="529"/>
      <c r="AW66" s="483"/>
      <c r="AZ66">
        <f t="shared" si="50"/>
        <v>0</v>
      </c>
      <c r="BA66" t="str">
        <f t="shared" si="35"/>
        <v/>
      </c>
      <c r="BB66" s="132"/>
      <c r="BD66" s="513" t="str">
        <f t="shared" si="81"/>
        <v/>
      </c>
      <c r="BE66" s="53" t="str">
        <f>IF($AZ66=0,"",IF(AND($I66&gt;=6,$I66&lt;=19),VLOOKUP($I66,参照データ!$B$24:$C$37,2,0),IF($I66&lt;6,6,19)))</f>
        <v/>
      </c>
      <c r="BF66" s="155" t="str">
        <f>IF($J66="○",VLOOKUP($BE66,参照データ!$C$24:$I$37,2,0),"")</f>
        <v/>
      </c>
      <c r="BG66" s="146" t="str">
        <f>IF($K66="○",VLOOKUP($BE66,参照データ!$C$24:$I$37,3,0),"")</f>
        <v/>
      </c>
      <c r="BH66" s="146" t="str">
        <f>IF($L66="○",VLOOKUP($BE66,参照データ!$C$24:$I$37,4,0),"")</f>
        <v/>
      </c>
      <c r="BI66" s="146" t="str">
        <f>IF($M66="○",VLOOKUP($BE66,参照データ!$C$24:$I$37,5,0),"")</f>
        <v/>
      </c>
      <c r="BJ66" s="146" t="str">
        <f>IF($N66="20日",VLOOKUP($BE66,参照データ!$C$24:$I$37,6,0),"")</f>
        <v/>
      </c>
      <c r="BK66" s="156" t="str">
        <f>IF($O66="20日",VLOOKUP($BE66,参照データ!$C$24:$I$37,7,0),"")</f>
        <v/>
      </c>
      <c r="BL66" s="155" t="str">
        <f>IF($J66="21日",VLOOKUP($BE66,参照データ!$C$24:$I$37,2,0),"")</f>
        <v/>
      </c>
      <c r="BM66" s="146" t="str">
        <f>IF($K66="21日",VLOOKUP($BE66,参照データ!$C$24:$I$37,3,0),"")</f>
        <v/>
      </c>
      <c r="BN66" s="146" t="str">
        <f>IF($L66="21日",VLOOKUP($BE66,参照データ!$C$24:$I$37,4,0),"")</f>
        <v/>
      </c>
      <c r="BO66" s="146" t="str">
        <f>IF($M66="21日",VLOOKUP($BE66,参照データ!$C$24:$I$37,5,0),"")</f>
        <v/>
      </c>
      <c r="BP66" s="146" t="str">
        <f>IF($N66="21日",VLOOKUP($BE66,参照データ!$C$24:$I$37,6,0),"")</f>
        <v/>
      </c>
      <c r="BQ66" s="156" t="str">
        <f>IF($O66="21日",VLOOKUP($BE66,参照データ!$C$24:$I$37,7,0),"")</f>
        <v/>
      </c>
      <c r="BR66" s="223" t="str">
        <f t="shared" si="42"/>
        <v/>
      </c>
      <c r="BS66" s="154" t="str">
        <f>IF($R66="入門",VLOOKUP($BE66,参照データ!$C$43:$U$56,2,0),IF($R66="初級",VLOOKUP($BE66,参照データ!$C$43:$U$56,3,0),IF($R66="中級",VLOOKUP($BE66,参照データ!$C$43:$U$56,4,0),IF($R66="上級",VLOOKUP($BE66,参照データ!$C$43:$U$56,5,0),""))))</f>
        <v/>
      </c>
      <c r="BT66" s="154" t="str">
        <f>IF($S66="初級",VLOOKUP($BE66,参照データ!$C$43:$U$56,6,0),IF($S66="中級",VLOOKUP($BE66,参照データ!$C$43:$U$56,7,0),IF($S66="上級",VLOOKUP($BE66,参照データ!$C$43:$U$56,8,0),"")))</f>
        <v/>
      </c>
      <c r="BU66" s="154" t="str">
        <f>IF($T66="初級",VLOOKUP($BE66,参照データ!$C$43:$U$56,9,0),IF($T66="上級",VLOOKUP($BE66,参照データ!$C$43:$U$56,10,0),""))</f>
        <v/>
      </c>
      <c r="BV66" s="154" t="str">
        <f>IF($U66="初級",VLOOKUP($BE66,参照データ!$C$43:$U$56,11,0),IF($U66="中級",VLOOKUP($BE66,参照データ!$C$43:$U$56,12,0),IF($U66="上級",VLOOKUP($BE66,参照データ!$C$43:$U$56,13,0),"")))</f>
        <v/>
      </c>
      <c r="BW66" s="154" t="str">
        <f>IF($V66="初級",VLOOKUP($BE66,参照データ!$C$43:$U$56,14,0),IF($V66="中級",VLOOKUP($BE66,参照データ!$C$43:$U$56,15,0),IF($V66="上級",VLOOKUP($BE66,参照データ!$C$43:$U$56,16,0),"")))</f>
        <v/>
      </c>
      <c r="BX66" s="47" t="str">
        <f t="shared" si="5"/>
        <v/>
      </c>
      <c r="BY66" s="47" t="str">
        <f>IF($W66="初級",VLOOKUP($BE66,参照データ!$C$43:$U$56,17,0),IF($W66="中級",VLOOKUP($BE66,参照データ!$C$43:$U$56,18,0),IF($W66="上級",VLOOKUP($BE66,参照データ!$C$43:$U$56,19,0),"")))</f>
        <v/>
      </c>
      <c r="BZ66" s="686">
        <v>28</v>
      </c>
      <c r="CA66" s="66" t="s">
        <v>278</v>
      </c>
      <c r="CB66" s="136" t="str">
        <f t="shared" si="13"/>
        <v/>
      </c>
      <c r="CC66" s="688" t="str">
        <f t="shared" ref="CC66" si="116">IF(OR($CB66="",$CB67=""),"",IF($CB66&gt;$CB67,$CB66,$CB67))</f>
        <v/>
      </c>
      <c r="CE66" s="53" t="str">
        <f>IF(AND($AZ66&gt;=参照データ!$C$67,$AZ66&lt;=参照データ!$C$65),1,IF(AND($AZ66&gt;=参照データ!$C$70,$AZ66&lt;=参照データ!$C$68),2,IF(AND($AZ66&gt;=参照データ!$C$73,$AZ66&lt;=参照データ!$C$71),3,IF(AND($AZ66&gt;=参照データ!$C$76,$AZ66&lt;=参照データ!$C$74),4,IF(AND($AZ66&gt;=参照データ!$C$79,$AZ66&lt;=参照データ!$C$77),5,IF(AND($AZ66&gt;0,$AZ66&lt;=参照データ!$C$80),6,""))))))</f>
        <v/>
      </c>
      <c r="CF66" s="141" t="str">
        <f>IF($Z66="○",(VLOOKUP($CE66,参照データ!$D$65:$J$82,2,0)),"")</f>
        <v/>
      </c>
      <c r="CG66" s="71" t="str">
        <f t="shared" si="14"/>
        <v/>
      </c>
      <c r="CH66" s="70" t="str">
        <f>IF($AB66="○",(VLOOKUP($CE66,参照データ!$D$65:$J$82,3,0)),"")</f>
        <v/>
      </c>
      <c r="CI66" s="71" t="str">
        <f t="shared" si="15"/>
        <v/>
      </c>
      <c r="CJ66" s="70" t="str">
        <f>IF($AD66="○",(VLOOKUP($CE66,参照データ!$D$65:$J$82,4,0)),"")</f>
        <v/>
      </c>
      <c r="CK66" s="71" t="str">
        <f t="shared" si="16"/>
        <v/>
      </c>
      <c r="CL66" s="70" t="str">
        <f>IF($AF66="○",(VLOOKUP($CE66,参照データ!$D$65:$J$82,5,0)),"")</f>
        <v/>
      </c>
      <c r="CM66" s="71" t="str">
        <f t="shared" si="6"/>
        <v/>
      </c>
      <c r="CN66" s="70" t="str">
        <f>IF($AH66="○",(VLOOKUP($CE66,参照データ!$D$65:$J$82,6,0)),"")</f>
        <v/>
      </c>
      <c r="CO66" s="71" t="str">
        <f t="shared" si="17"/>
        <v/>
      </c>
      <c r="CP66" s="33" t="str">
        <f t="shared" si="18"/>
        <v/>
      </c>
      <c r="CQ66" s="32" t="str">
        <f t="shared" si="19"/>
        <v/>
      </c>
      <c r="CR66" s="71" t="str">
        <f t="shared" si="20"/>
        <v/>
      </c>
      <c r="CS66" s="681">
        <v>28</v>
      </c>
      <c r="CT66" s="79" t="s">
        <v>139</v>
      </c>
      <c r="CU66" s="80" t="str">
        <f t="shared" si="21"/>
        <v/>
      </c>
      <c r="CV66" s="683" t="e">
        <f>IF($CU66&gt;$CU67,VLOOKUP($CU66,参照データ!$D$65:$J$82,7,0),VLOOKUP($CU67,参照データ!$D$65:$J$82,7,0))</f>
        <v>#N/A</v>
      </c>
      <c r="CW66" s="308" t="str">
        <f>IFERROR(VLOOKUP($CV66,参照データ!$J$65:$M$82,4,0),"")</f>
        <v/>
      </c>
      <c r="CX66" s="70"/>
      <c r="CY66" s="172" t="str">
        <f t="shared" si="22"/>
        <v/>
      </c>
      <c r="DA66" s="32"/>
      <c r="DB66" s="161" t="str">
        <f t="shared" si="23"/>
        <v/>
      </c>
      <c r="DC66" s="743">
        <v>28</v>
      </c>
      <c r="DD66" s="166" t="s">
        <v>139</v>
      </c>
      <c r="DE66" s="167" t="str">
        <f t="shared" si="44"/>
        <v/>
      </c>
      <c r="DF66" s="741" t="str">
        <f>IF(OR(DE66="",DE67=""),"",IF(DE66&gt;DE67,DE66,DE67))</f>
        <v/>
      </c>
      <c r="DG66" t="str">
        <f>IF($DH66="","",DATEDIF($AZ66,参照データ!$D$19,"Y"))</f>
        <v/>
      </c>
      <c r="DH66" s="253" t="str">
        <f>IFERROR(IF($BA66="男子",VLOOKUP($DO66,参照データ!$D$88:$E$117,2,0),$DO66),0)</f>
        <v/>
      </c>
      <c r="DI66" s="84" t="str">
        <f>IF($Z66="選手権",(VLOOKUP($DH66,参照データ!$D$88:$K$117,3,0)),"")</f>
        <v/>
      </c>
      <c r="DJ66" s="85" t="str">
        <f t="shared" si="83"/>
        <v/>
      </c>
      <c r="DK66" s="84" t="str">
        <f>IF($AB66="選手権",(VLOOKUP($DH66,参照データ!$D$88:$K$117,4,0)),"")</f>
        <v/>
      </c>
      <c r="DL66" s="85" t="str">
        <f t="shared" si="84"/>
        <v/>
      </c>
      <c r="DM66" s="84" t="str">
        <f>IF($AD66="選手権",(VLOOKUP($DH66,参照データ!$D$88:$K$117,5,0)),"")</f>
        <v/>
      </c>
      <c r="DN66" s="85" t="str">
        <f t="shared" si="85"/>
        <v/>
      </c>
      <c r="DO66" s="53" t="str">
        <f>IF(AND($AZ66&gt;=参照データ!$C$90,$AZ66&lt;=参照データ!$C$88),1,IF(AND($AZ66&gt;=参照データ!$C$93,$AZ66&lt;=参照データ!$C$91),2,IF(AND($AZ66&gt;=参照データ!$C$99,$AZ66&lt;=参照データ!$C$97),3,IF(AND($AZ66&gt;=参照データ!$C$105,$AZ66&lt;=参照データ!$C$103),4,IF(AND($AZ66&gt;=参照データ!$C$111,$AZ66&lt;=参照データ!$C$109),5,IF(AND($AZ66&gt;0,$AZ66&lt;=参照データ!$C$112),6,""))))))</f>
        <v/>
      </c>
      <c r="DP66" s="84" t="str">
        <f>IF($AF66="選手権",(VLOOKUP($DO66,参照データ!$D$88:$K$117,6,0)),"")</f>
        <v/>
      </c>
      <c r="DQ66" s="85" t="str">
        <f t="shared" si="10"/>
        <v/>
      </c>
      <c r="DR66" s="84" t="str">
        <f>IF($AH66="選手権",(VLOOKUP($DO66,参照データ!$D$88:$K$117,7,0)),"")</f>
        <v/>
      </c>
      <c r="DS66" s="85" t="str">
        <f t="shared" si="24"/>
        <v/>
      </c>
      <c r="DT66" s="33" t="str">
        <f t="shared" si="25"/>
        <v/>
      </c>
      <c r="DU66" s="32" t="str">
        <f t="shared" si="26"/>
        <v/>
      </c>
      <c r="DV66" s="85" t="str">
        <f t="shared" si="27"/>
        <v/>
      </c>
      <c r="DW66" s="736">
        <v>28</v>
      </c>
      <c r="DX66" s="93" t="s">
        <v>139</v>
      </c>
      <c r="DY66" s="94" t="str">
        <f t="shared" si="37"/>
        <v/>
      </c>
      <c r="DZ66" s="737" t="e">
        <f>IF($DY66&gt;$DY67,VLOOKUP($DY66,参照データ!$D$88:$K$117,8,0),VLOOKUP($DY67,参照データ!$D$88:$K$117,8,0))</f>
        <v>#N/A</v>
      </c>
      <c r="EA66" s="312" t="str">
        <f>IFERROR(VLOOKUP($DZ66,参照データ!$K$88:$O$117,5,0),"")</f>
        <v/>
      </c>
      <c r="EC66" s="491" t="str">
        <f t="shared" si="28"/>
        <v/>
      </c>
      <c r="EH66" s="35">
        <f>(COUNTIF($J66:$O66,"&lt;&gt;"))*参照データ!$E$3</f>
        <v>0</v>
      </c>
      <c r="EI66" s="219" t="str">
        <f>IF(P66="○",参照データ!$E$5,"")</f>
        <v/>
      </c>
      <c r="EJ66" s="219" t="str">
        <f>IF($Y66="○",参照データ!$E$4,"")</f>
        <v/>
      </c>
      <c r="EK66" s="18">
        <f>(SUM(COUNTIF($R66:$V66,{"入門","初級"}))*参照データ!$E$9)+(SUM(COUNTIF($R66:$V66,{"中級","上級"})*参照データ!$E$10))</f>
        <v>0</v>
      </c>
      <c r="EL66" s="18">
        <f>IFERROR(VLOOKUP($W66,参照データ!$D$9:$J$11,7,0),0)</f>
        <v>0</v>
      </c>
      <c r="EM66" s="18">
        <f>((COUNTIF($Z66:$AH66,"○"))*参照データ!$E$12)</f>
        <v>0</v>
      </c>
      <c r="EN66" s="18" t="str">
        <f>(IF($AJ66="○",参照データ!$J$12,""))</f>
        <v/>
      </c>
      <c r="EQ66" s="18">
        <f>((COUNTIF($Z66:$AH66,"選手権"))*参照データ!$E$13)</f>
        <v>0</v>
      </c>
      <c r="ER66" s="18" t="str">
        <f>(IF($AJ66="選手権",参照データ!$J$13,""))</f>
        <v/>
      </c>
      <c r="ES66" s="18">
        <f>(COUNTIF($AQ66:$AR66,"&lt;&gt;"))*参照データ!$H$3</f>
        <v>0</v>
      </c>
      <c r="ET66" s="18"/>
      <c r="EU66" s="18" t="str">
        <f>IF(AV66&lt;&gt;"",参照データ!$H$15,"")</f>
        <v/>
      </c>
      <c r="EV66" s="98" cm="1">
        <f t="array" ref="EV66">SUM(IF(ISERROR(EH66:EU66),0,(EH66:EU66)))</f>
        <v>0</v>
      </c>
      <c r="EW66" s="18"/>
      <c r="EX66" s="18">
        <f t="shared" si="86"/>
        <v>0</v>
      </c>
      <c r="EY66" s="18">
        <f t="shared" si="29"/>
        <v>0</v>
      </c>
      <c r="EZ66" s="18">
        <f t="shared" si="38"/>
        <v>0</v>
      </c>
      <c r="FA66" s="18">
        <f t="shared" si="30"/>
        <v>0</v>
      </c>
      <c r="FB66" s="18">
        <f t="shared" si="31"/>
        <v>0</v>
      </c>
      <c r="FC66" s="18">
        <f t="shared" si="32"/>
        <v>0</v>
      </c>
      <c r="FD66" s="18">
        <f t="shared" si="12"/>
        <v>0</v>
      </c>
      <c r="FE66" t="str">
        <f t="shared" si="33"/>
        <v/>
      </c>
    </row>
    <row r="67" spans="1:161" ht="18.75" customHeight="1" x14ac:dyDescent="0.2">
      <c r="A67">
        <v>56</v>
      </c>
      <c r="B67" s="14" t="str">
        <f>IF(D67="","",IF(D67="重複","",COUNTIF(B$12:$B66,"&gt;0")+1))</f>
        <v/>
      </c>
      <c r="C67" s="464"/>
      <c r="D67" s="177"/>
      <c r="E67" s="177"/>
      <c r="F67" s="31"/>
      <c r="G67" s="41"/>
      <c r="H67" s="351">
        <f t="shared" si="34"/>
        <v>0</v>
      </c>
      <c r="I67" s="193" t="str">
        <f>IF($AZ67=0,"",DATEDIF($AZ67,参照データ!$D$16,"Y"))</f>
        <v/>
      </c>
      <c r="J67" s="36"/>
      <c r="K67" s="36"/>
      <c r="L67" s="36"/>
      <c r="M67" s="36"/>
      <c r="N67" s="36"/>
      <c r="O67" s="42"/>
      <c r="P67" s="345"/>
      <c r="Q67" s="345"/>
      <c r="R67" s="43"/>
      <c r="S67" s="244"/>
      <c r="T67" s="244"/>
      <c r="U67" s="244"/>
      <c r="V67" s="245"/>
      <c r="W67" s="248"/>
      <c r="X67" s="250"/>
      <c r="Y67" s="345"/>
      <c r="Z67" s="388"/>
      <c r="AA67" s="346" t="str">
        <f>IF($Z67="○",VLOOKUP($CE67,参照データ!$D$65:$M$82,9,0),IF($Z67="選手権",VLOOKUP($DH67,参照データ!$D$88:$O$117,10,0),""))</f>
        <v/>
      </c>
      <c r="AB67" s="388"/>
      <c r="AC67" s="346" t="str">
        <f>IF($AB67="○",VLOOKUP($CE67,参照データ!$D$65:$M$82,10,0),IF($AB67="選手権",VLOOKUP($DH67,参照データ!$D$88:$O$117,11,0),""))</f>
        <v/>
      </c>
      <c r="AD67" s="388"/>
      <c r="AE67" s="346" t="str">
        <f>IF($AD67="○",VLOOKUP($CE67,参照データ!$D$65:$M$82,10,0),IF($AD67="選手権",VLOOKUP($DH67,参照データ!$D$88:$O$117,11,0),""))</f>
        <v/>
      </c>
      <c r="AF67" s="388"/>
      <c r="AG67" s="346" t="str">
        <f>IF($AF67="○",VLOOKUP($CE67,参照データ!$D$65:$M$82,10,0),IF($AF67="選手権",VLOOKUP($DO67,参照データ!$D$88:$O$117,12,0),""))</f>
        <v/>
      </c>
      <c r="AH67" s="388"/>
      <c r="AI67" s="346" t="str">
        <f>IF($AH67="○",VLOOKUP($CE67,参照データ!$D$65:$M$82,10,0),IF($AH67="選手権",VLOOKUP($DO67,参照データ!$D$88:$O$117,12,0),""))</f>
        <v/>
      </c>
      <c r="AJ67" s="388"/>
      <c r="AK67" s="511"/>
      <c r="AL67" s="346" t="str">
        <f t="shared" si="80"/>
        <v/>
      </c>
      <c r="AM67" s="392"/>
      <c r="AN67" s="391"/>
      <c r="AO67" s="391"/>
      <c r="AP67" s="447"/>
      <c r="AQ67" s="321"/>
      <c r="AR67" s="481"/>
      <c r="AS67" s="393"/>
      <c r="AT67" s="483"/>
      <c r="AU67" s="393"/>
      <c r="AV67" s="529"/>
      <c r="AW67" s="483"/>
      <c r="AZ67">
        <f t="shared" si="50"/>
        <v>0</v>
      </c>
      <c r="BA67" t="str">
        <f t="shared" si="35"/>
        <v/>
      </c>
      <c r="BB67" s="132"/>
      <c r="BD67" s="513" t="str">
        <f t="shared" si="81"/>
        <v/>
      </c>
      <c r="BE67" s="53" t="str">
        <f>IF($AZ67=0,"",IF(AND($I67&gt;=6,$I67&lt;=19),VLOOKUP($I67,参照データ!$B$24:$C$37,2,0),IF($I67&lt;6,6,19)))</f>
        <v/>
      </c>
      <c r="BF67" s="155" t="str">
        <f>IF($J67="○",VLOOKUP($BE67,参照データ!$C$24:$I$37,2,0),"")</f>
        <v/>
      </c>
      <c r="BG67" s="146" t="str">
        <f>IF($K67="○",VLOOKUP($BE67,参照データ!$C$24:$I$37,3,0),"")</f>
        <v/>
      </c>
      <c r="BH67" s="146" t="str">
        <f>IF($L67="○",VLOOKUP($BE67,参照データ!$C$24:$I$37,4,0),"")</f>
        <v/>
      </c>
      <c r="BI67" s="146" t="str">
        <f>IF($M67="○",VLOOKUP($BE67,参照データ!$C$24:$I$37,5,0),"")</f>
        <v/>
      </c>
      <c r="BJ67" s="146" t="str">
        <f>IF($N67="20日",VLOOKUP($BE67,参照データ!$C$24:$I$37,6,0),"")</f>
        <v/>
      </c>
      <c r="BK67" s="156" t="str">
        <f>IF($O67="20日",VLOOKUP($BE67,参照データ!$C$24:$I$37,7,0),"")</f>
        <v/>
      </c>
      <c r="BL67" s="155" t="str">
        <f>IF($J67="21日",VLOOKUP($BE67,参照データ!$C$24:$I$37,2,0),"")</f>
        <v/>
      </c>
      <c r="BM67" s="146" t="str">
        <f>IF($K67="21日",VLOOKUP($BE67,参照データ!$C$24:$I$37,3,0),"")</f>
        <v/>
      </c>
      <c r="BN67" s="146" t="str">
        <f>IF($L67="21日",VLOOKUP($BE67,参照データ!$C$24:$I$37,4,0),"")</f>
        <v/>
      </c>
      <c r="BO67" s="146" t="str">
        <f>IF($M67="21日",VLOOKUP($BE67,参照データ!$C$24:$I$37,5,0),"")</f>
        <v/>
      </c>
      <c r="BP67" s="146" t="str">
        <f>IF($N67="21日",VLOOKUP($BE67,参照データ!$C$24:$I$37,6,0),"")</f>
        <v/>
      </c>
      <c r="BQ67" s="156" t="str">
        <f>IF($O67="21日",VLOOKUP($BE67,参照データ!$C$24:$I$37,7,0),"")</f>
        <v/>
      </c>
      <c r="BR67" s="223" t="str">
        <f t="shared" si="42"/>
        <v/>
      </c>
      <c r="BS67" s="154" t="str">
        <f>IF($R67="入門",VLOOKUP($BE67,参照データ!$C$43:$U$56,2,0),IF($R67="初級",VLOOKUP($BE67,参照データ!$C$43:$U$56,3,0),IF($R67="中級",VLOOKUP($BE67,参照データ!$C$43:$U$56,4,0),IF($R67="上級",VLOOKUP($BE67,参照データ!$C$43:$U$56,5,0),""))))</f>
        <v/>
      </c>
      <c r="BT67" s="154" t="str">
        <f>IF($S67="初級",VLOOKUP($BE67,参照データ!$C$43:$U$56,6,0),IF($S67="中級",VLOOKUP($BE67,参照データ!$C$43:$U$56,7,0),IF($S67="上級",VLOOKUP($BE67,参照データ!$C$43:$U$56,8,0),"")))</f>
        <v/>
      </c>
      <c r="BU67" s="154" t="str">
        <f>IF($T67="初級",VLOOKUP($BE67,参照データ!$C$43:$U$56,9,0),IF($T67="上級",VLOOKUP($BE67,参照データ!$C$43:$U$56,10,0),""))</f>
        <v/>
      </c>
      <c r="BV67" s="154" t="str">
        <f>IF($U67="初級",VLOOKUP($BE67,参照データ!$C$43:$U$56,11,0),IF($U67="中級",VLOOKUP($BE67,参照データ!$C$43:$U$56,12,0),IF($U67="上級",VLOOKUP($BE67,参照データ!$C$43:$U$56,13,0),"")))</f>
        <v/>
      </c>
      <c r="BW67" s="154" t="str">
        <f>IF($V67="初級",VLOOKUP($BE67,参照データ!$C$43:$U$56,14,0),IF($V67="中級",VLOOKUP($BE67,参照データ!$C$43:$U$56,15,0),IF($V67="上級",VLOOKUP($BE67,参照データ!$C$43:$U$56,16,0),"")))</f>
        <v/>
      </c>
      <c r="BX67" s="47" t="str">
        <f t="shared" si="5"/>
        <v/>
      </c>
      <c r="BY67" s="47" t="str">
        <f>IF($W67="初級",VLOOKUP($BE67,参照データ!$C$43:$U$56,17,0),IF($W67="中級",VLOOKUP($BE67,参照データ!$C$43:$U$56,18,0),IF($W67="上級",VLOOKUP($BE67,参照データ!$C$43:$U$56,19,0),"")))</f>
        <v/>
      </c>
      <c r="BZ67" s="687"/>
      <c r="CA67" s="65" t="s">
        <v>279</v>
      </c>
      <c r="CB67" s="135" t="str">
        <f t="shared" si="13"/>
        <v/>
      </c>
      <c r="CC67" s="689"/>
      <c r="CE67" s="53" t="str">
        <f>IF(AND($AZ67&gt;=参照データ!$C$67,$AZ67&lt;=参照データ!$C$65),1,IF(AND($AZ67&gt;=参照データ!$C$70,$AZ67&lt;=参照データ!$C$68),2,IF(AND($AZ67&gt;=参照データ!$C$73,$AZ67&lt;=参照データ!$C$71),3,IF(AND($AZ67&gt;=参照データ!$C$76,$AZ67&lt;=参照データ!$C$74),4,IF(AND($AZ67&gt;=参照データ!$C$79,$AZ67&lt;=参照データ!$C$77),5,IF(AND($AZ67&gt;0,$AZ67&lt;=参照データ!$C$80),6,""))))))</f>
        <v/>
      </c>
      <c r="CF67" s="141" t="str">
        <f>IF($Z67="○",(VLOOKUP($CE67,参照データ!$D$65:$J$82,2,0)),"")</f>
        <v/>
      </c>
      <c r="CG67" s="71" t="str">
        <f t="shared" si="14"/>
        <v/>
      </c>
      <c r="CH67" s="70" t="str">
        <f>IF($AB67="○",(VLOOKUP($CE67,参照データ!$D$65:$J$82,3,0)),"")</f>
        <v/>
      </c>
      <c r="CI67" s="71" t="str">
        <f t="shared" si="15"/>
        <v/>
      </c>
      <c r="CJ67" s="70" t="str">
        <f>IF($AD67="○",(VLOOKUP($CE67,参照データ!$D$65:$J$82,4,0)),"")</f>
        <v/>
      </c>
      <c r="CK67" s="71" t="str">
        <f t="shared" si="16"/>
        <v/>
      </c>
      <c r="CL67" s="70" t="str">
        <f>IF($AF67="○",(VLOOKUP($CE67,参照データ!$D$65:$J$82,5,0)),"")</f>
        <v/>
      </c>
      <c r="CM67" s="71" t="str">
        <f t="shared" si="6"/>
        <v/>
      </c>
      <c r="CN67" s="70" t="str">
        <f>IF($AH67="○",(VLOOKUP($CE67,参照データ!$D$65:$J$82,6,0)),"")</f>
        <v/>
      </c>
      <c r="CO67" s="71" t="str">
        <f t="shared" si="17"/>
        <v/>
      </c>
      <c r="CP67" s="33" t="str">
        <f t="shared" si="18"/>
        <v/>
      </c>
      <c r="CQ67" s="32" t="str">
        <f t="shared" si="19"/>
        <v/>
      </c>
      <c r="CR67" s="71" t="str">
        <f t="shared" si="20"/>
        <v/>
      </c>
      <c r="CS67" s="682"/>
      <c r="CT67" s="77" t="s">
        <v>140</v>
      </c>
      <c r="CU67" s="78" t="str">
        <f t="shared" si="21"/>
        <v/>
      </c>
      <c r="CV67" s="684"/>
      <c r="CW67" s="308" t="str">
        <f t="shared" ref="CW67" si="117">$CW66</f>
        <v/>
      </c>
      <c r="CX67" s="70"/>
      <c r="CY67" s="172" t="str">
        <f t="shared" si="22"/>
        <v/>
      </c>
      <c r="DA67" s="32"/>
      <c r="DB67" s="161" t="str">
        <f t="shared" si="23"/>
        <v/>
      </c>
      <c r="DC67" s="744"/>
      <c r="DD67" s="164" t="s">
        <v>140</v>
      </c>
      <c r="DE67" s="165" t="str">
        <f t="shared" si="44"/>
        <v/>
      </c>
      <c r="DF67" s="742"/>
      <c r="DG67" t="str">
        <f>IF($DH67="","",DATEDIF($AZ67,参照データ!$D$19,"Y"))</f>
        <v/>
      </c>
      <c r="DH67" s="253" t="str">
        <f>IFERROR(IF($BA67="男子",VLOOKUP($DO67,参照データ!$D$88:$E$117,2,0),$DO67),0)</f>
        <v/>
      </c>
      <c r="DI67" s="84" t="str">
        <f>IF($Z67="選手権",(VLOOKUP($DH67,参照データ!$D$88:$K$117,3,0)),"")</f>
        <v/>
      </c>
      <c r="DJ67" s="85" t="str">
        <f t="shared" si="83"/>
        <v/>
      </c>
      <c r="DK67" s="84" t="str">
        <f>IF($AB67="選手権",(VLOOKUP($DH67,参照データ!$D$88:$K$117,4,0)),"")</f>
        <v/>
      </c>
      <c r="DL67" s="85" t="str">
        <f t="shared" si="84"/>
        <v/>
      </c>
      <c r="DM67" s="84" t="str">
        <f>IF($AD67="選手権",(VLOOKUP($DH67,参照データ!$D$88:$K$117,5,0)),"")</f>
        <v/>
      </c>
      <c r="DN67" s="85" t="str">
        <f t="shared" si="85"/>
        <v/>
      </c>
      <c r="DO67" s="53" t="str">
        <f>IF(AND($AZ67&gt;=参照データ!$C$90,$AZ67&lt;=参照データ!$C$88),1,IF(AND($AZ67&gt;=参照データ!$C$93,$AZ67&lt;=参照データ!$C$91),2,IF(AND($AZ67&gt;=参照データ!$C$99,$AZ67&lt;=参照データ!$C$97),3,IF(AND($AZ67&gt;=参照データ!$C$105,$AZ67&lt;=参照データ!$C$103),4,IF(AND($AZ67&gt;=参照データ!$C$111,$AZ67&lt;=参照データ!$C$109),5,IF(AND($AZ67&gt;0,$AZ67&lt;=参照データ!$C$112),6,""))))))</f>
        <v/>
      </c>
      <c r="DP67" s="84" t="str">
        <f>IF($AF67="選手権",(VLOOKUP($DO67,参照データ!$D$88:$K$117,6,0)),"")</f>
        <v/>
      </c>
      <c r="DQ67" s="85" t="str">
        <f t="shared" si="10"/>
        <v/>
      </c>
      <c r="DR67" s="84" t="str">
        <f>IF($AH67="選手権",(VLOOKUP($DO67,参照データ!$D$88:$K$117,7,0)),"")</f>
        <v/>
      </c>
      <c r="DS67" s="85" t="str">
        <f t="shared" si="24"/>
        <v/>
      </c>
      <c r="DT67" s="33" t="str">
        <f t="shared" si="25"/>
        <v/>
      </c>
      <c r="DU67" s="32" t="str">
        <f t="shared" si="26"/>
        <v/>
      </c>
      <c r="DV67" s="85" t="str">
        <f t="shared" si="27"/>
        <v/>
      </c>
      <c r="DW67" s="733"/>
      <c r="DX67" s="91" t="s">
        <v>140</v>
      </c>
      <c r="DY67" s="92" t="str">
        <f t="shared" si="37"/>
        <v/>
      </c>
      <c r="DZ67" s="735"/>
      <c r="EA67" s="312" t="str">
        <f t="shared" ref="EA67:EA71" si="118">$EA66</f>
        <v/>
      </c>
      <c r="EC67" s="491" t="str">
        <f t="shared" si="28"/>
        <v/>
      </c>
      <c r="EH67" s="35">
        <f>(COUNTIF($J67:$O67,"&lt;&gt;"))*参照データ!$E$3</f>
        <v>0</v>
      </c>
      <c r="EI67" s="219" t="str">
        <f>IF(P67="○",参照データ!$E$5,"")</f>
        <v/>
      </c>
      <c r="EJ67" s="219" t="str">
        <f>IF($Y67="○",参照データ!$E$4,"")</f>
        <v/>
      </c>
      <c r="EK67" s="18">
        <f>(SUM(COUNTIF($R67:$V67,{"入門","初級"}))*参照データ!$E$9)+(SUM(COUNTIF($R67:$V67,{"中級","上級"})*参照データ!$E$10))</f>
        <v>0</v>
      </c>
      <c r="EL67" s="18">
        <f>IFERROR(VLOOKUP($W67,参照データ!$D$9:$J$11,7,0),0)</f>
        <v>0</v>
      </c>
      <c r="EM67" s="18">
        <f>((COUNTIF($Z67:$AH67,"○"))*参照データ!$E$12)</f>
        <v>0</v>
      </c>
      <c r="EN67" s="18" t="str">
        <f>(IF($AJ67="○",参照データ!$J$12,""))</f>
        <v/>
      </c>
      <c r="EQ67" s="18">
        <f>((COUNTIF($Z67:$AH67,"選手権"))*参照データ!$E$13)</f>
        <v>0</v>
      </c>
      <c r="ER67" s="18" t="str">
        <f>(IF($AJ67="選手権",参照データ!$J$13,""))</f>
        <v/>
      </c>
      <c r="ES67" s="18">
        <f>(COUNTIF($AQ67:$AR67,"&lt;&gt;"))*参照データ!$H$3</f>
        <v>0</v>
      </c>
      <c r="ET67" s="18"/>
      <c r="EU67" s="18" t="str">
        <f>IF(AV67&lt;&gt;"",参照データ!$H$15,"")</f>
        <v/>
      </c>
      <c r="EV67" s="98" cm="1">
        <f t="array" ref="EV67">SUM(IF(ISERROR(EH67:EU67),0,(EH67:EU67)))</f>
        <v>0</v>
      </c>
      <c r="EW67" s="18"/>
      <c r="EX67" s="18">
        <f t="shared" si="86"/>
        <v>0</v>
      </c>
      <c r="EY67" s="18">
        <f t="shared" si="29"/>
        <v>0</v>
      </c>
      <c r="EZ67" s="18">
        <f t="shared" si="38"/>
        <v>0</v>
      </c>
      <c r="FA67" s="18">
        <f t="shared" si="30"/>
        <v>0</v>
      </c>
      <c r="FB67" s="18">
        <f t="shared" si="31"/>
        <v>0</v>
      </c>
      <c r="FC67" s="18">
        <f t="shared" si="32"/>
        <v>0</v>
      </c>
      <c r="FD67" s="18">
        <f t="shared" si="12"/>
        <v>0</v>
      </c>
      <c r="FE67" t="str">
        <f t="shared" si="33"/>
        <v/>
      </c>
    </row>
    <row r="68" spans="1:161" ht="18.75" customHeight="1" x14ac:dyDescent="0.2">
      <c r="A68">
        <v>57</v>
      </c>
      <c r="B68" s="14" t="str">
        <f>IF(D68="","",IF(D68="重複","",COUNTIF(B$12:$B67,"&gt;0")+1))</f>
        <v/>
      </c>
      <c r="C68" s="464"/>
      <c r="D68" s="177"/>
      <c r="E68" s="177"/>
      <c r="F68" s="31"/>
      <c r="G68" s="41"/>
      <c r="H68" s="351">
        <f t="shared" si="34"/>
        <v>0</v>
      </c>
      <c r="I68" s="193" t="str">
        <f>IF($AZ68=0,"",DATEDIF($AZ68,参照データ!$D$16,"Y"))</f>
        <v/>
      </c>
      <c r="J68" s="36"/>
      <c r="K68" s="36"/>
      <c r="L68" s="36"/>
      <c r="M68" s="36"/>
      <c r="N68" s="36"/>
      <c r="O68" s="42"/>
      <c r="P68" s="345"/>
      <c r="Q68" s="345"/>
      <c r="R68" s="43"/>
      <c r="S68" s="244"/>
      <c r="T68" s="244"/>
      <c r="U68" s="244"/>
      <c r="V68" s="245"/>
      <c r="W68" s="248"/>
      <c r="X68" s="250"/>
      <c r="Y68" s="345"/>
      <c r="Z68" s="388"/>
      <c r="AA68" s="346" t="str">
        <f>IF($Z68="○",VLOOKUP($CE68,参照データ!$D$65:$M$82,9,0),IF($Z68="選手権",VLOOKUP($DH68,参照データ!$D$88:$O$117,10,0),""))</f>
        <v/>
      </c>
      <c r="AB68" s="388"/>
      <c r="AC68" s="346" t="str">
        <f>IF($AB68="○",VLOOKUP($CE68,参照データ!$D$65:$M$82,10,0),IF($AB68="選手権",VLOOKUP($DH68,参照データ!$D$88:$O$117,11,0),""))</f>
        <v/>
      </c>
      <c r="AD68" s="388"/>
      <c r="AE68" s="346" t="str">
        <f>IF($AD68="○",VLOOKUP($CE68,参照データ!$D$65:$M$82,10,0),IF($AD68="選手権",VLOOKUP($DH68,参照データ!$D$88:$O$117,11,0),""))</f>
        <v/>
      </c>
      <c r="AF68" s="388"/>
      <c r="AG68" s="346" t="str">
        <f>IF($AF68="○",VLOOKUP($CE68,参照データ!$D$65:$M$82,10,0),IF($AF68="選手権",VLOOKUP($DO68,参照データ!$D$88:$O$117,12,0),""))</f>
        <v/>
      </c>
      <c r="AH68" s="388"/>
      <c r="AI68" s="346" t="str">
        <f>IF($AH68="○",VLOOKUP($CE68,参照データ!$D$65:$M$82,10,0),IF($AH68="選手権",VLOOKUP($DO68,参照データ!$D$88:$O$117,12,0),""))</f>
        <v/>
      </c>
      <c r="AJ68" s="388"/>
      <c r="AK68" s="511"/>
      <c r="AL68" s="346" t="str">
        <f t="shared" si="80"/>
        <v/>
      </c>
      <c r="AM68" s="392"/>
      <c r="AN68" s="391"/>
      <c r="AO68" s="391"/>
      <c r="AP68" s="447"/>
      <c r="AQ68" s="321"/>
      <c r="AR68" s="481"/>
      <c r="AS68" s="393"/>
      <c r="AT68" s="483"/>
      <c r="AU68" s="393"/>
      <c r="AV68" s="529"/>
      <c r="AW68" s="483"/>
      <c r="AZ68">
        <f t="shared" si="50"/>
        <v>0</v>
      </c>
      <c r="BA68" t="str">
        <f>IF($D68="","",IF($D68="重複",$F67,$F68))</f>
        <v/>
      </c>
      <c r="BB68" s="132"/>
      <c r="BD68" s="513" t="str">
        <f t="shared" si="81"/>
        <v/>
      </c>
      <c r="BE68" s="53" t="str">
        <f>IF($AZ68=0,"",IF(AND($I68&gt;=6,$I68&lt;=19),VLOOKUP($I68,参照データ!$B$24:$C$37,2,0),IF($I68&lt;6,6,19)))</f>
        <v/>
      </c>
      <c r="BF68" s="155" t="str">
        <f>IF($J68="○",VLOOKUP($BE68,参照データ!$C$24:$I$37,2,0),"")</f>
        <v/>
      </c>
      <c r="BG68" s="146" t="str">
        <f>IF($K68="○",VLOOKUP($BE68,参照データ!$C$24:$I$37,3,0),"")</f>
        <v/>
      </c>
      <c r="BH68" s="146" t="str">
        <f>IF($L68="○",VLOOKUP($BE68,参照データ!$C$24:$I$37,4,0),"")</f>
        <v/>
      </c>
      <c r="BI68" s="146" t="str">
        <f>IF($M68="○",VLOOKUP($BE68,参照データ!$C$24:$I$37,5,0),"")</f>
        <v/>
      </c>
      <c r="BJ68" s="146" t="str">
        <f>IF($N68="20日",VLOOKUP($BE68,参照データ!$C$24:$I$37,6,0),"")</f>
        <v/>
      </c>
      <c r="BK68" s="156" t="str">
        <f>IF($O68="20日",VLOOKUP($BE68,参照データ!$C$24:$I$37,7,0),"")</f>
        <v/>
      </c>
      <c r="BL68" s="155" t="str">
        <f>IF($J68="21日",VLOOKUP($BE68,参照データ!$C$24:$I$37,2,0),"")</f>
        <v/>
      </c>
      <c r="BM68" s="146" t="str">
        <f>IF($K68="21日",VLOOKUP($BE68,参照データ!$C$24:$I$37,3,0),"")</f>
        <v/>
      </c>
      <c r="BN68" s="146" t="str">
        <f>IF($L68="21日",VLOOKUP($BE68,参照データ!$C$24:$I$37,4,0),"")</f>
        <v/>
      </c>
      <c r="BO68" s="146" t="str">
        <f>IF($M68="21日",VLOOKUP($BE68,参照データ!$C$24:$I$37,5,0),"")</f>
        <v/>
      </c>
      <c r="BP68" s="146" t="str">
        <f>IF($N68="21日",VLOOKUP($BE68,参照データ!$C$24:$I$37,6,0),"")</f>
        <v/>
      </c>
      <c r="BQ68" s="156" t="str">
        <f>IF($O68="21日",VLOOKUP($BE68,参照データ!$C$24:$I$37,7,0),"")</f>
        <v/>
      </c>
      <c r="BR68" s="223" t="str">
        <f t="shared" si="42"/>
        <v/>
      </c>
      <c r="BS68" s="154" t="str">
        <f>IF($R68="入門",VLOOKUP($BE68,参照データ!$C$43:$U$56,2,0),IF($R68="初級",VLOOKUP($BE68,参照データ!$C$43:$U$56,3,0),IF($R68="中級",VLOOKUP($BE68,参照データ!$C$43:$U$56,4,0),IF($R68="上級",VLOOKUP($BE68,参照データ!$C$43:$U$56,5,0),""))))</f>
        <v/>
      </c>
      <c r="BT68" s="154" t="str">
        <f>IF($S68="初級",VLOOKUP($BE68,参照データ!$C$43:$U$56,6,0),IF($S68="中級",VLOOKUP($BE68,参照データ!$C$43:$U$56,7,0),IF($S68="上級",VLOOKUP($BE68,参照データ!$C$43:$U$56,8,0),"")))</f>
        <v/>
      </c>
      <c r="BU68" s="154" t="str">
        <f>IF($T68="初級",VLOOKUP($BE68,参照データ!$C$43:$U$56,9,0),IF($T68="上級",VLOOKUP($BE68,参照データ!$C$43:$U$56,10,0),""))</f>
        <v/>
      </c>
      <c r="BV68" s="154" t="str">
        <f>IF($U68="初級",VLOOKUP($BE68,参照データ!$C$43:$U$56,11,0),IF($U68="中級",VLOOKUP($BE68,参照データ!$C$43:$U$56,12,0),IF($U68="上級",VLOOKUP($BE68,参照データ!$C$43:$U$56,13,0),"")))</f>
        <v/>
      </c>
      <c r="BW68" s="154" t="str">
        <f>IF($V68="初級",VLOOKUP($BE68,参照データ!$C$43:$U$56,14,0),IF($V68="中級",VLOOKUP($BE68,参照データ!$C$43:$U$56,15,0),IF($V68="上級",VLOOKUP($BE68,参照データ!$C$43:$U$56,16,0),"")))</f>
        <v/>
      </c>
      <c r="BX68" s="47" t="str">
        <f t="shared" si="5"/>
        <v/>
      </c>
      <c r="BY68" s="47" t="str">
        <f>IF($W68="初級",VLOOKUP($BE68,参照データ!$C$43:$U$56,17,0),IF($W68="中級",VLOOKUP($BE68,参照データ!$C$43:$U$56,18,0),IF($W68="上級",VLOOKUP($BE68,参照データ!$C$43:$U$56,19,0),"")))</f>
        <v/>
      </c>
      <c r="BZ68" s="686">
        <v>29</v>
      </c>
      <c r="CA68" s="66" t="s">
        <v>280</v>
      </c>
      <c r="CB68" s="136" t="str">
        <f t="shared" si="13"/>
        <v/>
      </c>
      <c r="CC68" s="688" t="str">
        <f t="shared" ref="CC68" si="119">IF(OR($CB68="",$CB69=""),"",IF($CB68&gt;$CB69,$CB68,$CB69))</f>
        <v/>
      </c>
      <c r="CE68" s="53" t="str">
        <f>IF(AND($AZ68&gt;=参照データ!$C$67,$AZ68&lt;=参照データ!$C$65),1,IF(AND($AZ68&gt;=参照データ!$C$70,$AZ68&lt;=参照データ!$C$68),2,IF(AND($AZ68&gt;=参照データ!$C$73,$AZ68&lt;=参照データ!$C$71),3,IF(AND($AZ68&gt;=参照データ!$C$76,$AZ68&lt;=参照データ!$C$74),4,IF(AND($AZ68&gt;=参照データ!$C$79,$AZ68&lt;=参照データ!$C$77),5,IF(AND($AZ68&gt;0,$AZ68&lt;=参照データ!$C$80),6,""))))))</f>
        <v/>
      </c>
      <c r="CF68" s="141" t="str">
        <f>IF($Z68="○",(VLOOKUP($CE68,参照データ!$D$65:$J$82,2,0)),"")</f>
        <v/>
      </c>
      <c r="CG68" s="71" t="str">
        <f t="shared" si="14"/>
        <v/>
      </c>
      <c r="CH68" s="70" t="str">
        <f>IF($AB68="○",(VLOOKUP($CE68,参照データ!$D$65:$J$82,3,0)),"")</f>
        <v/>
      </c>
      <c r="CI68" s="71" t="str">
        <f t="shared" si="15"/>
        <v/>
      </c>
      <c r="CJ68" s="70" t="str">
        <f>IF($AD68="○",(VLOOKUP($CE68,参照データ!$D$65:$J$82,4,0)),"")</f>
        <v/>
      </c>
      <c r="CK68" s="71" t="str">
        <f t="shared" si="16"/>
        <v/>
      </c>
      <c r="CL68" s="70" t="str">
        <f>IF($AF68="○",(VLOOKUP($CE68,参照データ!$D$65:$J$82,5,0)),"")</f>
        <v/>
      </c>
      <c r="CM68" s="71" t="str">
        <f t="shared" si="6"/>
        <v/>
      </c>
      <c r="CN68" s="70" t="str">
        <f>IF($AH68="○",(VLOOKUP($CE68,参照データ!$D$65:$J$82,6,0)),"")</f>
        <v/>
      </c>
      <c r="CO68" s="71" t="str">
        <f t="shared" si="17"/>
        <v/>
      </c>
      <c r="CP68" s="33" t="str">
        <f t="shared" si="18"/>
        <v/>
      </c>
      <c r="CQ68" s="32" t="str">
        <f t="shared" si="19"/>
        <v/>
      </c>
      <c r="CR68" s="71" t="str">
        <f t="shared" si="20"/>
        <v/>
      </c>
      <c r="CS68" s="681">
        <v>29</v>
      </c>
      <c r="CT68" s="79" t="s">
        <v>141</v>
      </c>
      <c r="CU68" s="80" t="str">
        <f t="shared" si="21"/>
        <v/>
      </c>
      <c r="CV68" s="683" t="e">
        <f>IF($CU68&gt;$CU69,VLOOKUP($CU68,参照データ!$D$65:$J$82,7,0),VLOOKUP($CU69,参照データ!$D$65:$J$82,7,0))</f>
        <v>#N/A</v>
      </c>
      <c r="CW68" s="308" t="str">
        <f>IFERROR(VLOOKUP($CV68,参照データ!$J$65:$M$82,4,0),"")</f>
        <v/>
      </c>
      <c r="CX68" s="70"/>
      <c r="CY68" s="172" t="str">
        <f t="shared" si="22"/>
        <v/>
      </c>
      <c r="DA68" s="32"/>
      <c r="DB68" s="161" t="str">
        <f t="shared" si="23"/>
        <v/>
      </c>
      <c r="DC68" s="743">
        <v>29</v>
      </c>
      <c r="DD68" s="166" t="s">
        <v>141</v>
      </c>
      <c r="DE68" s="167" t="str">
        <f t="shared" si="44"/>
        <v/>
      </c>
      <c r="DF68" s="741" t="str">
        <f>IF(OR(DE68="",DE69=""),"",IF(DE68&gt;DE69,DE68,DE69))</f>
        <v/>
      </c>
      <c r="DG68" t="str">
        <f>IF($DH68="","",DATEDIF($AZ68,参照データ!$D$19,"Y"))</f>
        <v/>
      </c>
      <c r="DH68" s="253" t="str">
        <f>IFERROR(IF($BA68="男子",VLOOKUP($DO68,参照データ!$D$88:$E$117,2,0),$DO68),0)</f>
        <v/>
      </c>
      <c r="DI68" s="84" t="str">
        <f>IF($Z68="選手権",(VLOOKUP($DH68,参照データ!$D$88:$K$117,3,0)),"")</f>
        <v/>
      </c>
      <c r="DJ68" s="85" t="str">
        <f t="shared" si="83"/>
        <v/>
      </c>
      <c r="DK68" s="84" t="str">
        <f>IF($AB68="選手権",(VLOOKUP($DH68,参照データ!$D$88:$K$117,4,0)),"")</f>
        <v/>
      </c>
      <c r="DL68" s="85" t="str">
        <f t="shared" si="84"/>
        <v/>
      </c>
      <c r="DM68" s="84" t="str">
        <f>IF($AD68="選手権",(VLOOKUP($DH68,参照データ!$D$88:$K$117,5,0)),"")</f>
        <v/>
      </c>
      <c r="DN68" s="85" t="str">
        <f t="shared" si="85"/>
        <v/>
      </c>
      <c r="DO68" s="53" t="str">
        <f>IF(AND($AZ68&gt;=参照データ!$C$90,$AZ68&lt;=参照データ!$C$88),1,IF(AND($AZ68&gt;=参照データ!$C$93,$AZ68&lt;=参照データ!$C$91),2,IF(AND($AZ68&gt;=参照データ!$C$99,$AZ68&lt;=参照データ!$C$97),3,IF(AND($AZ68&gt;=参照データ!$C$105,$AZ68&lt;=参照データ!$C$103),4,IF(AND($AZ68&gt;=参照データ!$C$111,$AZ68&lt;=参照データ!$C$109),5,IF(AND($AZ68&gt;0,$AZ68&lt;=参照データ!$C$112),6,""))))))</f>
        <v/>
      </c>
      <c r="DP68" s="84" t="str">
        <f>IF($AF68="選手権",(VLOOKUP($DO68,参照データ!$D$88:$K$117,6,0)),"")</f>
        <v/>
      </c>
      <c r="DQ68" s="85" t="str">
        <f t="shared" si="10"/>
        <v/>
      </c>
      <c r="DR68" s="84" t="str">
        <f>IF($AH68="選手権",(VLOOKUP($DO68,参照データ!$D$88:$K$117,7,0)),"")</f>
        <v/>
      </c>
      <c r="DS68" s="85" t="str">
        <f t="shared" si="24"/>
        <v/>
      </c>
      <c r="DT68" s="33" t="str">
        <f t="shared" si="25"/>
        <v/>
      </c>
      <c r="DU68" s="32" t="str">
        <f t="shared" si="26"/>
        <v/>
      </c>
      <c r="DV68" s="85" t="str">
        <f t="shared" si="27"/>
        <v/>
      </c>
      <c r="DW68" s="736">
        <v>29</v>
      </c>
      <c r="DX68" s="93" t="s">
        <v>141</v>
      </c>
      <c r="DY68" s="94" t="str">
        <f t="shared" si="37"/>
        <v/>
      </c>
      <c r="DZ68" s="737" t="e">
        <f>IF($DY68&gt;$DY69,VLOOKUP($DY68,参照データ!$D$88:$K$117,8,0),VLOOKUP($DY69,参照データ!$D$88:$K$117,8,0))</f>
        <v>#N/A</v>
      </c>
      <c r="EA68" s="312" t="str">
        <f>IFERROR(VLOOKUP($DZ68,参照データ!$K$88:$O$117,5,0),"")</f>
        <v/>
      </c>
      <c r="EC68" s="491" t="str">
        <f t="shared" si="28"/>
        <v/>
      </c>
      <c r="EH68" s="35">
        <f>(COUNTIF($J68:$O68,"&lt;&gt;"))*参照データ!$E$3</f>
        <v>0</v>
      </c>
      <c r="EI68" s="219" t="str">
        <f>IF(P68="○",参照データ!$E$5,"")</f>
        <v/>
      </c>
      <c r="EJ68" s="219" t="str">
        <f>IF($Y68="○",参照データ!$E$4,"")</f>
        <v/>
      </c>
      <c r="EK68" s="18">
        <f>(SUM(COUNTIF($R68:$V68,{"入門","初級"}))*参照データ!$E$9)+(SUM(COUNTIF($R68:$V68,{"中級","上級"})*参照データ!$E$10))</f>
        <v>0</v>
      </c>
      <c r="EL68" s="18">
        <f>IFERROR(VLOOKUP($W68,参照データ!$D$9:$J$11,7,0),0)</f>
        <v>0</v>
      </c>
      <c r="EM68" s="18">
        <f>((COUNTIF($Z68:$AH68,"○"))*参照データ!$E$12)</f>
        <v>0</v>
      </c>
      <c r="EN68" s="18" t="str">
        <f>(IF($AJ68="○",参照データ!$J$12,""))</f>
        <v/>
      </c>
      <c r="EQ68" s="18">
        <f>((COUNTIF($Z68:$AH68,"選手権"))*参照データ!$E$13)</f>
        <v>0</v>
      </c>
      <c r="ER68" s="18" t="str">
        <f>(IF($AJ68="選手権",参照データ!$J$13,""))</f>
        <v/>
      </c>
      <c r="ES68" s="18">
        <f>(COUNTIF($AQ68:$AR68,"&lt;&gt;"))*参照データ!$H$3</f>
        <v>0</v>
      </c>
      <c r="ET68" s="18"/>
      <c r="EU68" s="18" t="str">
        <f>IF(AV68&lt;&gt;"",参照データ!$H$15,"")</f>
        <v/>
      </c>
      <c r="EV68" s="98" cm="1">
        <f t="array" ref="EV68">SUM(IF(ISERROR(EH68:EU68),0,(EH68:EU68)))</f>
        <v>0</v>
      </c>
      <c r="EW68" s="18"/>
      <c r="EX68" s="18">
        <f t="shared" si="86"/>
        <v>0</v>
      </c>
      <c r="EY68" s="18">
        <f t="shared" si="29"/>
        <v>0</v>
      </c>
      <c r="EZ68" s="18">
        <f t="shared" si="38"/>
        <v>0</v>
      </c>
      <c r="FA68" s="18">
        <f t="shared" si="30"/>
        <v>0</v>
      </c>
      <c r="FB68" s="18">
        <f t="shared" si="31"/>
        <v>0</v>
      </c>
      <c r="FC68" s="18">
        <f t="shared" si="32"/>
        <v>0</v>
      </c>
      <c r="FD68" s="18">
        <f t="shared" si="12"/>
        <v>0</v>
      </c>
      <c r="FE68" t="str">
        <f t="shared" si="33"/>
        <v/>
      </c>
    </row>
    <row r="69" spans="1:161" ht="18.75" customHeight="1" x14ac:dyDescent="0.2">
      <c r="A69">
        <v>58</v>
      </c>
      <c r="B69" s="14" t="str">
        <f>IF(D69="","",IF(D69="重複","",COUNTIF(B$12:$B68,"&gt;0")+1))</f>
        <v/>
      </c>
      <c r="C69" s="464"/>
      <c r="D69" s="177"/>
      <c r="E69" s="177"/>
      <c r="F69" s="31"/>
      <c r="G69" s="41"/>
      <c r="H69" s="351">
        <f t="shared" si="34"/>
        <v>0</v>
      </c>
      <c r="I69" s="193" t="str">
        <f>IF($AZ69=0,"",DATEDIF($AZ69,参照データ!$D$16,"Y"))</f>
        <v/>
      </c>
      <c r="J69" s="36"/>
      <c r="K69" s="36"/>
      <c r="L69" s="36"/>
      <c r="M69" s="36"/>
      <c r="N69" s="36"/>
      <c r="O69" s="42"/>
      <c r="P69" s="345"/>
      <c r="Q69" s="345"/>
      <c r="R69" s="43"/>
      <c r="S69" s="244"/>
      <c r="T69" s="244"/>
      <c r="U69" s="244"/>
      <c r="V69" s="245"/>
      <c r="W69" s="248"/>
      <c r="X69" s="250"/>
      <c r="Y69" s="345"/>
      <c r="Z69" s="388"/>
      <c r="AA69" s="346" t="str">
        <f>IF($Z69="○",VLOOKUP($CE69,参照データ!$D$65:$M$82,9,0),IF($Z69="選手権",VLOOKUP($DH69,参照データ!$D$88:$O$117,10,0),""))</f>
        <v/>
      </c>
      <c r="AB69" s="388"/>
      <c r="AC69" s="346" t="str">
        <f>IF($AB69="○",VLOOKUP($CE69,参照データ!$D$65:$M$82,10,0),IF($AB69="選手権",VLOOKUP($DH69,参照データ!$D$88:$O$117,11,0),""))</f>
        <v/>
      </c>
      <c r="AD69" s="388"/>
      <c r="AE69" s="346" t="str">
        <f>IF($AD69="○",VLOOKUP($CE69,参照データ!$D$65:$M$82,10,0),IF($AD69="選手権",VLOOKUP($DH69,参照データ!$D$88:$O$117,11,0),""))</f>
        <v/>
      </c>
      <c r="AF69" s="388"/>
      <c r="AG69" s="346" t="str">
        <f>IF($AF69="○",VLOOKUP($CE69,参照データ!$D$65:$M$82,10,0),IF($AF69="選手権",VLOOKUP($DO69,参照データ!$D$88:$O$117,12,0),""))</f>
        <v/>
      </c>
      <c r="AH69" s="388"/>
      <c r="AI69" s="346" t="str">
        <f>IF($AH69="○",VLOOKUP($CE69,参照データ!$D$65:$M$82,10,0),IF($AH69="選手権",VLOOKUP($DO69,参照データ!$D$88:$O$117,12,0),""))</f>
        <v/>
      </c>
      <c r="AJ69" s="388"/>
      <c r="AK69" s="511"/>
      <c r="AL69" s="346" t="str">
        <f t="shared" si="80"/>
        <v/>
      </c>
      <c r="AM69" s="392"/>
      <c r="AN69" s="391"/>
      <c r="AO69" s="391"/>
      <c r="AP69" s="447"/>
      <c r="AQ69" s="321"/>
      <c r="AR69" s="481"/>
      <c r="AS69" s="393"/>
      <c r="AT69" s="483"/>
      <c r="AU69" s="393"/>
      <c r="AV69" s="529"/>
      <c r="AW69" s="483"/>
      <c r="AZ69">
        <f t="shared" si="50"/>
        <v>0</v>
      </c>
      <c r="BA69" t="str">
        <f t="shared" si="35"/>
        <v/>
      </c>
      <c r="BB69" s="132"/>
      <c r="BD69" s="513" t="str">
        <f t="shared" si="81"/>
        <v/>
      </c>
      <c r="BE69" s="53" t="str">
        <f>IF($AZ69=0,"",IF(AND($I69&gt;=6,$I69&lt;=19),VLOOKUP($I69,参照データ!$B$24:$C$37,2,0),IF($I69&lt;6,6,19)))</f>
        <v/>
      </c>
      <c r="BF69" s="155" t="str">
        <f>IF($J69="○",VLOOKUP($BE69,参照データ!$C$24:$I$37,2,0),"")</f>
        <v/>
      </c>
      <c r="BG69" s="146" t="str">
        <f>IF($K69="○",VLOOKUP($BE69,参照データ!$C$24:$I$37,3,0),"")</f>
        <v/>
      </c>
      <c r="BH69" s="146" t="str">
        <f>IF($L69="○",VLOOKUP($BE69,参照データ!$C$24:$I$37,4,0),"")</f>
        <v/>
      </c>
      <c r="BI69" s="146" t="str">
        <f>IF($M69="○",VLOOKUP($BE69,参照データ!$C$24:$I$37,5,0),"")</f>
        <v/>
      </c>
      <c r="BJ69" s="146" t="str">
        <f>IF($N69="20日",VLOOKUP($BE69,参照データ!$C$24:$I$37,6,0),"")</f>
        <v/>
      </c>
      <c r="BK69" s="156" t="str">
        <f>IF($O69="20日",VLOOKUP($BE69,参照データ!$C$24:$I$37,7,0),"")</f>
        <v/>
      </c>
      <c r="BL69" s="155" t="str">
        <f>IF($J69="21日",VLOOKUP($BE69,参照データ!$C$24:$I$37,2,0),"")</f>
        <v/>
      </c>
      <c r="BM69" s="146" t="str">
        <f>IF($K69="21日",VLOOKUP($BE69,参照データ!$C$24:$I$37,3,0),"")</f>
        <v/>
      </c>
      <c r="BN69" s="146" t="str">
        <f>IF($L69="21日",VLOOKUP($BE69,参照データ!$C$24:$I$37,4,0),"")</f>
        <v/>
      </c>
      <c r="BO69" s="146" t="str">
        <f>IF($M69="21日",VLOOKUP($BE69,参照データ!$C$24:$I$37,5,0),"")</f>
        <v/>
      </c>
      <c r="BP69" s="146" t="str">
        <f>IF($N69="21日",VLOOKUP($BE69,参照データ!$C$24:$I$37,6,0),"")</f>
        <v/>
      </c>
      <c r="BQ69" s="156" t="str">
        <f>IF($O69="21日",VLOOKUP($BE69,参照データ!$C$24:$I$37,7,0),"")</f>
        <v/>
      </c>
      <c r="BR69" s="223" t="str">
        <f t="shared" si="42"/>
        <v/>
      </c>
      <c r="BS69" s="154" t="str">
        <f>IF($R69="入門",VLOOKUP($BE69,参照データ!$C$43:$U$56,2,0),IF($R69="初級",VLOOKUP($BE69,参照データ!$C$43:$U$56,3,0),IF($R69="中級",VLOOKUP($BE69,参照データ!$C$43:$U$56,4,0),IF($R69="上級",VLOOKUP($BE69,参照データ!$C$43:$U$56,5,0),""))))</f>
        <v/>
      </c>
      <c r="BT69" s="154" t="str">
        <f>IF($S69="初級",VLOOKUP($BE69,参照データ!$C$43:$U$56,6,0),IF($S69="中級",VLOOKUP($BE69,参照データ!$C$43:$U$56,7,0),IF($S69="上級",VLOOKUP($BE69,参照データ!$C$43:$U$56,8,0),"")))</f>
        <v/>
      </c>
      <c r="BU69" s="154" t="str">
        <f>IF($T69="初級",VLOOKUP($BE69,参照データ!$C$43:$U$56,9,0),IF($T69="上級",VLOOKUP($BE69,参照データ!$C$43:$U$56,10,0),""))</f>
        <v/>
      </c>
      <c r="BV69" s="154" t="str">
        <f>IF($U69="初級",VLOOKUP($BE69,参照データ!$C$43:$U$56,11,0),IF($U69="中級",VLOOKUP($BE69,参照データ!$C$43:$U$56,12,0),IF($U69="上級",VLOOKUP($BE69,参照データ!$C$43:$U$56,13,0),"")))</f>
        <v/>
      </c>
      <c r="BW69" s="154" t="str">
        <f>IF($V69="初級",VLOOKUP($BE69,参照データ!$C$43:$U$56,14,0),IF($V69="中級",VLOOKUP($BE69,参照データ!$C$43:$U$56,15,0),IF($V69="上級",VLOOKUP($BE69,参照データ!$C$43:$U$56,16,0),"")))</f>
        <v/>
      </c>
      <c r="BX69" s="47" t="str">
        <f t="shared" si="5"/>
        <v/>
      </c>
      <c r="BY69" s="47" t="str">
        <f>IF($W69="初級",VLOOKUP($BE69,参照データ!$C$43:$U$56,17,0),IF($W69="中級",VLOOKUP($BE69,参照データ!$C$43:$U$56,18,0),IF($W69="上級",VLOOKUP($BE69,参照データ!$C$43:$U$56,19,0),"")))</f>
        <v/>
      </c>
      <c r="BZ69" s="687"/>
      <c r="CA69" s="65" t="s">
        <v>281</v>
      </c>
      <c r="CB69" s="135" t="str">
        <f t="shared" si="13"/>
        <v/>
      </c>
      <c r="CC69" s="689"/>
      <c r="CE69" s="53" t="str">
        <f>IF(AND($AZ69&gt;=参照データ!$C$67,$AZ69&lt;=参照データ!$C$65),1,IF(AND($AZ69&gt;=参照データ!$C$70,$AZ69&lt;=参照データ!$C$68),2,IF(AND($AZ69&gt;=参照データ!$C$73,$AZ69&lt;=参照データ!$C$71),3,IF(AND($AZ69&gt;=参照データ!$C$76,$AZ69&lt;=参照データ!$C$74),4,IF(AND($AZ69&gt;=参照データ!$C$79,$AZ69&lt;=参照データ!$C$77),5,IF(AND($AZ69&gt;0,$AZ69&lt;=参照データ!$C$80),6,""))))))</f>
        <v/>
      </c>
      <c r="CF69" s="141" t="str">
        <f>IF($Z69="○",(VLOOKUP($CE69,参照データ!$D$65:$J$82,2,0)),"")</f>
        <v/>
      </c>
      <c r="CG69" s="71" t="str">
        <f t="shared" si="14"/>
        <v/>
      </c>
      <c r="CH69" s="70" t="str">
        <f>IF($AB69="○",(VLOOKUP($CE69,参照データ!$D$65:$J$82,3,0)),"")</f>
        <v/>
      </c>
      <c r="CI69" s="71" t="str">
        <f t="shared" si="15"/>
        <v/>
      </c>
      <c r="CJ69" s="70" t="str">
        <f>IF($AD69="○",(VLOOKUP($CE69,参照データ!$D$65:$J$82,4,0)),"")</f>
        <v/>
      </c>
      <c r="CK69" s="71" t="str">
        <f t="shared" si="16"/>
        <v/>
      </c>
      <c r="CL69" s="70" t="str">
        <f>IF($AF69="○",(VLOOKUP($CE69,参照データ!$D$65:$J$82,5,0)),"")</f>
        <v/>
      </c>
      <c r="CM69" s="71" t="str">
        <f t="shared" si="6"/>
        <v/>
      </c>
      <c r="CN69" s="70" t="str">
        <f>IF($AH69="○",(VLOOKUP($CE69,参照データ!$D$65:$J$82,6,0)),"")</f>
        <v/>
      </c>
      <c r="CO69" s="71" t="str">
        <f t="shared" si="17"/>
        <v/>
      </c>
      <c r="CP69" s="33" t="str">
        <f t="shared" si="18"/>
        <v/>
      </c>
      <c r="CQ69" s="32" t="str">
        <f t="shared" si="19"/>
        <v/>
      </c>
      <c r="CR69" s="71" t="str">
        <f t="shared" si="20"/>
        <v/>
      </c>
      <c r="CS69" s="682"/>
      <c r="CT69" s="77" t="s">
        <v>142</v>
      </c>
      <c r="CU69" s="78" t="str">
        <f t="shared" si="21"/>
        <v/>
      </c>
      <c r="CV69" s="684"/>
      <c r="CW69" s="308" t="str">
        <f t="shared" ref="CW69" si="120">$CW68</f>
        <v/>
      </c>
      <c r="CX69" s="70"/>
      <c r="CY69" s="172" t="str">
        <f t="shared" si="22"/>
        <v/>
      </c>
      <c r="DA69" s="32"/>
      <c r="DB69" s="161" t="str">
        <f t="shared" si="23"/>
        <v/>
      </c>
      <c r="DC69" s="744"/>
      <c r="DD69" s="164" t="s">
        <v>142</v>
      </c>
      <c r="DE69" s="165" t="str">
        <f t="shared" si="44"/>
        <v/>
      </c>
      <c r="DF69" s="742"/>
      <c r="DG69" t="str">
        <f>IF($DH69="","",DATEDIF($AZ69,参照データ!$D$19,"Y"))</f>
        <v/>
      </c>
      <c r="DH69" s="253" t="str">
        <f>IFERROR(IF($BA69="男子",VLOOKUP($DO69,参照データ!$D$88:$E$117,2,0),$DO69),0)</f>
        <v/>
      </c>
      <c r="DI69" s="84" t="str">
        <f>IF($Z69="選手権",(VLOOKUP($DH69,参照データ!$D$88:$K$117,3,0)),"")</f>
        <v/>
      </c>
      <c r="DJ69" s="85" t="str">
        <f t="shared" si="83"/>
        <v/>
      </c>
      <c r="DK69" s="84" t="str">
        <f>IF($AB69="選手権",(VLOOKUP($DH69,参照データ!$D$88:$K$117,4,0)),"")</f>
        <v/>
      </c>
      <c r="DL69" s="85" t="str">
        <f t="shared" si="84"/>
        <v/>
      </c>
      <c r="DM69" s="84" t="str">
        <f>IF($AD69="選手権",(VLOOKUP($DH69,参照データ!$D$88:$K$117,5,0)),"")</f>
        <v/>
      </c>
      <c r="DN69" s="85" t="str">
        <f t="shared" si="85"/>
        <v/>
      </c>
      <c r="DO69" s="53" t="str">
        <f>IF(AND($AZ69&gt;=参照データ!$C$90,$AZ69&lt;=参照データ!$C$88),1,IF(AND($AZ69&gt;=参照データ!$C$93,$AZ69&lt;=参照データ!$C$91),2,IF(AND($AZ69&gt;=参照データ!$C$99,$AZ69&lt;=参照データ!$C$97),3,IF(AND($AZ69&gt;=参照データ!$C$105,$AZ69&lt;=参照データ!$C$103),4,IF(AND($AZ69&gt;=参照データ!$C$111,$AZ69&lt;=参照データ!$C$109),5,IF(AND($AZ69&gt;0,$AZ69&lt;=参照データ!$C$112),6,""))))))</f>
        <v/>
      </c>
      <c r="DP69" s="84" t="str">
        <f>IF($AF69="選手権",(VLOOKUP($DO69,参照データ!$D$88:$K$117,6,0)),"")</f>
        <v/>
      </c>
      <c r="DQ69" s="85" t="str">
        <f t="shared" si="10"/>
        <v/>
      </c>
      <c r="DR69" s="84" t="str">
        <f>IF($AH69="選手権",(VLOOKUP($DO69,参照データ!$D$88:$K$117,7,0)),"")</f>
        <v/>
      </c>
      <c r="DS69" s="85" t="str">
        <f t="shared" si="24"/>
        <v/>
      </c>
      <c r="DT69" s="33" t="str">
        <f t="shared" si="25"/>
        <v/>
      </c>
      <c r="DU69" s="32" t="str">
        <f t="shared" si="26"/>
        <v/>
      </c>
      <c r="DV69" s="85" t="str">
        <f t="shared" si="27"/>
        <v/>
      </c>
      <c r="DW69" s="733"/>
      <c r="DX69" s="91" t="s">
        <v>142</v>
      </c>
      <c r="DY69" s="92" t="str">
        <f t="shared" si="37"/>
        <v/>
      </c>
      <c r="DZ69" s="735"/>
      <c r="EA69" s="312" t="str">
        <f t="shared" si="118"/>
        <v/>
      </c>
      <c r="EC69" s="491" t="str">
        <f t="shared" si="28"/>
        <v/>
      </c>
      <c r="EH69" s="35">
        <f>(COUNTIF($J69:$O69,"&lt;&gt;"))*参照データ!$E$3</f>
        <v>0</v>
      </c>
      <c r="EI69" s="219" t="str">
        <f>IF(P69="○",参照データ!$E$5,"")</f>
        <v/>
      </c>
      <c r="EJ69" s="219" t="str">
        <f>IF($Y69="○",参照データ!$E$4,"")</f>
        <v/>
      </c>
      <c r="EK69" s="18">
        <f>(SUM(COUNTIF($R69:$V69,{"入門","初級"}))*参照データ!$E$9)+(SUM(COUNTIF($R69:$V69,{"中級","上級"})*参照データ!$E$10))</f>
        <v>0</v>
      </c>
      <c r="EL69" s="18">
        <f>IFERROR(VLOOKUP($W69,参照データ!$D$9:$J$11,7,0),0)</f>
        <v>0</v>
      </c>
      <c r="EM69" s="18">
        <f>((COUNTIF($Z69:$AH69,"○"))*参照データ!$E$12)</f>
        <v>0</v>
      </c>
      <c r="EN69" s="18" t="str">
        <f>(IF($AJ69="○",参照データ!$J$12,""))</f>
        <v/>
      </c>
      <c r="EQ69" s="18">
        <f>((COUNTIF($Z69:$AH69,"選手権"))*参照データ!$E$13)</f>
        <v>0</v>
      </c>
      <c r="ER69" s="18" t="str">
        <f>(IF($AJ69="選手権",参照データ!$J$13,""))</f>
        <v/>
      </c>
      <c r="ES69" s="18">
        <f>(COUNTIF($AQ69:$AR69,"&lt;&gt;"))*参照データ!$H$3</f>
        <v>0</v>
      </c>
      <c r="ET69" s="18"/>
      <c r="EU69" s="18" t="str">
        <f>IF(AV69&lt;&gt;"",参照データ!$H$15,"")</f>
        <v/>
      </c>
      <c r="EV69" s="98" cm="1">
        <f t="array" ref="EV69">SUM(IF(ISERROR(EH69:EU69),0,(EH69:EU69)))</f>
        <v>0</v>
      </c>
      <c r="EW69" s="18"/>
      <c r="EX69" s="18">
        <f t="shared" si="86"/>
        <v>0</v>
      </c>
      <c r="EY69" s="18">
        <f t="shared" si="29"/>
        <v>0</v>
      </c>
      <c r="EZ69" s="18">
        <f t="shared" si="38"/>
        <v>0</v>
      </c>
      <c r="FA69" s="18">
        <f t="shared" si="30"/>
        <v>0</v>
      </c>
      <c r="FB69" s="18">
        <f t="shared" si="31"/>
        <v>0</v>
      </c>
      <c r="FC69" s="18">
        <f t="shared" si="32"/>
        <v>0</v>
      </c>
      <c r="FD69" s="18">
        <f t="shared" si="12"/>
        <v>0</v>
      </c>
      <c r="FE69" t="str">
        <f t="shared" si="33"/>
        <v/>
      </c>
    </row>
    <row r="70" spans="1:161" ht="18.75" customHeight="1" x14ac:dyDescent="0.2">
      <c r="A70">
        <v>59</v>
      </c>
      <c r="B70" s="14" t="str">
        <f>IF(D70="","",IF(D70="重複","",COUNTIF(B$12:$B69,"&gt;0")+1))</f>
        <v/>
      </c>
      <c r="C70" s="464"/>
      <c r="D70" s="177"/>
      <c r="E70" s="177"/>
      <c r="F70" s="31"/>
      <c r="G70" s="41"/>
      <c r="H70" s="351">
        <f t="shared" si="34"/>
        <v>0</v>
      </c>
      <c r="I70" s="193" t="str">
        <f>IF($AZ70=0,"",DATEDIF($AZ70,参照データ!$D$16,"Y"))</f>
        <v/>
      </c>
      <c r="J70" s="36"/>
      <c r="K70" s="36"/>
      <c r="L70" s="36"/>
      <c r="M70" s="36"/>
      <c r="N70" s="36"/>
      <c r="O70" s="42"/>
      <c r="P70" s="345"/>
      <c r="Q70" s="345"/>
      <c r="R70" s="43"/>
      <c r="S70" s="244"/>
      <c r="T70" s="244"/>
      <c r="U70" s="244"/>
      <c r="V70" s="245"/>
      <c r="W70" s="249"/>
      <c r="X70" s="251"/>
      <c r="Y70" s="345"/>
      <c r="Z70" s="388"/>
      <c r="AA70" s="346" t="str">
        <f>IF($Z70="○",VLOOKUP($CE70,参照データ!$D$65:$M$82,9,0),IF($Z70="選手権",VLOOKUP($DH70,参照データ!$D$88:$O$117,10,0),""))</f>
        <v/>
      </c>
      <c r="AB70" s="388"/>
      <c r="AC70" s="346" t="str">
        <f>IF($AB70="○",VLOOKUP($CE70,参照データ!$D$65:$M$82,10,0),IF($AB70="選手権",VLOOKUP($DH70,参照データ!$D$88:$O$117,11,0),""))</f>
        <v/>
      </c>
      <c r="AD70" s="388"/>
      <c r="AE70" s="346" t="str">
        <f>IF($AD70="○",VLOOKUP($CE70,参照データ!$D$65:$M$82,10,0),IF($AD70="選手権",VLOOKUP($DH70,参照データ!$D$88:$O$117,11,0),""))</f>
        <v/>
      </c>
      <c r="AF70" s="388"/>
      <c r="AG70" s="346" t="str">
        <f>IF($AF70="○",VLOOKUP($CE70,参照データ!$D$65:$M$82,10,0),IF($AF70="選手権",VLOOKUP($DO70,参照データ!$D$88:$O$117,12,0),""))</f>
        <v/>
      </c>
      <c r="AH70" s="388"/>
      <c r="AI70" s="346" t="str">
        <f>IF($AH70="○",VLOOKUP($CE70,参照データ!$D$65:$M$82,10,0),IF($AH70="選手権",VLOOKUP($DO70,参照データ!$D$88:$O$117,12,0),""))</f>
        <v/>
      </c>
      <c r="AJ70" s="388"/>
      <c r="AK70" s="511"/>
      <c r="AL70" s="346" t="str">
        <f t="shared" si="80"/>
        <v/>
      </c>
      <c r="AM70" s="393"/>
      <c r="AN70" s="391"/>
      <c r="AO70" s="465"/>
      <c r="AP70" s="447"/>
      <c r="AQ70" s="321"/>
      <c r="AR70" s="481"/>
      <c r="AS70" s="393"/>
      <c r="AT70" s="483"/>
      <c r="AU70" s="393"/>
      <c r="AV70" s="529"/>
      <c r="AW70" s="483"/>
      <c r="AZ70">
        <f t="shared" si="50"/>
        <v>0</v>
      </c>
      <c r="BA70" t="str">
        <f t="shared" si="35"/>
        <v/>
      </c>
      <c r="BB70" s="132"/>
      <c r="BD70" s="513" t="str">
        <f t="shared" si="81"/>
        <v/>
      </c>
      <c r="BE70" s="53" t="str">
        <f>IF($AZ70=0,"",IF(AND($I70&gt;=6,$I70&lt;=19),VLOOKUP($I70,参照データ!$B$24:$C$37,2,0),IF($I70&lt;6,6,19)))</f>
        <v/>
      </c>
      <c r="BF70" s="155" t="str">
        <f>IF($J70="○",VLOOKUP($BE70,参照データ!$C$24:$I$37,2,0),"")</f>
        <v/>
      </c>
      <c r="BG70" s="146" t="str">
        <f>IF($K70="○",VLOOKUP($BE70,参照データ!$C$24:$I$37,3,0),"")</f>
        <v/>
      </c>
      <c r="BH70" s="146" t="str">
        <f>IF($L70="○",VLOOKUP($BE70,参照データ!$C$24:$I$37,4,0),"")</f>
        <v/>
      </c>
      <c r="BI70" s="146" t="str">
        <f>IF($M70="○",VLOOKUP($BE70,参照データ!$C$24:$I$37,5,0),"")</f>
        <v/>
      </c>
      <c r="BJ70" s="146" t="str">
        <f>IF($N70="20日",VLOOKUP($BE70,参照データ!$C$24:$I$37,6,0),"")</f>
        <v/>
      </c>
      <c r="BK70" s="156" t="str">
        <f>IF($O70="20日",VLOOKUP($BE70,参照データ!$C$24:$I$37,7,0),"")</f>
        <v/>
      </c>
      <c r="BL70" s="155" t="str">
        <f>IF($J70="21日",VLOOKUP($BE70,参照データ!$C$24:$I$37,2,0),"")</f>
        <v/>
      </c>
      <c r="BM70" s="146" t="str">
        <f>IF($K70="21日",VLOOKUP($BE70,参照データ!$C$24:$I$37,3,0),"")</f>
        <v/>
      </c>
      <c r="BN70" s="146" t="str">
        <f>IF($L70="21日",VLOOKUP($BE70,参照データ!$C$24:$I$37,4,0),"")</f>
        <v/>
      </c>
      <c r="BO70" s="146" t="str">
        <f>IF($M70="21日",VLOOKUP($BE70,参照データ!$C$24:$I$37,5,0),"")</f>
        <v/>
      </c>
      <c r="BP70" s="146" t="str">
        <f>IF($N70="21日",VLOOKUP($BE70,参照データ!$C$24:$I$37,6,0),"")</f>
        <v/>
      </c>
      <c r="BQ70" s="156" t="str">
        <f>IF($O70="21日",VLOOKUP($BE70,参照データ!$C$24:$I$37,7,0),"")</f>
        <v/>
      </c>
      <c r="BR70" s="223" t="str">
        <f t="shared" si="42"/>
        <v/>
      </c>
      <c r="BS70" s="154" t="str">
        <f>IF($R70="入門",VLOOKUP($BE70,参照データ!$C$43:$U$56,2,0),IF($R70="初級",VLOOKUP($BE70,参照データ!$C$43:$U$56,3,0),IF($R70="中級",VLOOKUP($BE70,参照データ!$C$43:$U$56,4,0),IF($R70="上級",VLOOKUP($BE70,参照データ!$C$43:$U$56,5,0),""))))</f>
        <v/>
      </c>
      <c r="BT70" s="154" t="str">
        <f>IF($S70="初級",VLOOKUP($BE70,参照データ!$C$43:$U$56,6,0),IF($S70="中級",VLOOKUP($BE70,参照データ!$C$43:$U$56,7,0),IF($S70="上級",VLOOKUP($BE70,参照データ!$C$43:$U$56,8,0),"")))</f>
        <v/>
      </c>
      <c r="BU70" s="154" t="str">
        <f>IF($T70="初級",VLOOKUP($BE70,参照データ!$C$43:$U$56,9,0),IF($T70="上級",VLOOKUP($BE70,参照データ!$C$43:$U$56,10,0),""))</f>
        <v/>
      </c>
      <c r="BV70" s="154" t="str">
        <f>IF($U70="初級",VLOOKUP($BE70,参照データ!$C$43:$U$56,11,0),IF($U70="中級",VLOOKUP($BE70,参照データ!$C$43:$U$56,12,0),IF($U70="上級",VLOOKUP($BE70,参照データ!$C$43:$U$56,13,0),"")))</f>
        <v/>
      </c>
      <c r="BW70" s="154" t="str">
        <f>IF($V70="初級",VLOOKUP($BE70,参照データ!$C$43:$U$56,14,0),IF($V70="中級",VLOOKUP($BE70,参照データ!$C$43:$U$56,15,0),IF($V70="上級",VLOOKUP($BE70,参照データ!$C$43:$U$56,16,0),"")))</f>
        <v/>
      </c>
      <c r="BX70" s="47" t="str">
        <f t="shared" si="5"/>
        <v/>
      </c>
      <c r="BY70" s="47" t="str">
        <f>IF($W70="初級",VLOOKUP($BE70,参照データ!$C$43:$U$56,17,0),IF($W70="中級",VLOOKUP($BE70,参照データ!$C$43:$U$56,18,0),IF($W70="上級",VLOOKUP($BE70,参照データ!$C$43:$U$56,19,0),"")))</f>
        <v/>
      </c>
      <c r="BZ70" s="686">
        <v>30</v>
      </c>
      <c r="CA70" s="66" t="s">
        <v>282</v>
      </c>
      <c r="CB70" s="136" t="str">
        <f t="shared" si="13"/>
        <v/>
      </c>
      <c r="CC70" s="688" t="str">
        <f t="shared" ref="CC70" si="121">IF(OR($CB70="",$CB71=""),"",IF($CB70&gt;$CB71,$CB70,$CB71))</f>
        <v/>
      </c>
      <c r="CE70" s="53" t="str">
        <f>IF(AND($AZ70&gt;=参照データ!$C$67,$AZ70&lt;=参照データ!$C$65),1,IF(AND($AZ70&gt;=参照データ!$C$70,$AZ70&lt;=参照データ!$C$68),2,IF(AND($AZ70&gt;=参照データ!$C$73,$AZ70&lt;=参照データ!$C$71),3,IF(AND($AZ70&gt;=参照データ!$C$76,$AZ70&lt;=参照データ!$C$74),4,IF(AND($AZ70&gt;=参照データ!$C$79,$AZ70&lt;=参照データ!$C$77),5,IF(AND($AZ70&gt;0,$AZ70&lt;=参照データ!$C$80),6,""))))))</f>
        <v/>
      </c>
      <c r="CF70" s="141" t="str">
        <f>IF($Z70="○",(VLOOKUP($CE70,参照データ!$D$65:$J$82,2,0)),"")</f>
        <v/>
      </c>
      <c r="CG70" s="71" t="str">
        <f t="shared" si="14"/>
        <v/>
      </c>
      <c r="CH70" s="70" t="str">
        <f>IF($AB70="○",(VLOOKUP($CE70,参照データ!$D$65:$J$82,3,0)),"")</f>
        <v/>
      </c>
      <c r="CI70" s="71" t="str">
        <f t="shared" si="15"/>
        <v/>
      </c>
      <c r="CJ70" s="70" t="str">
        <f>IF($AD70="○",(VLOOKUP($CE70,参照データ!$D$65:$J$82,4,0)),"")</f>
        <v/>
      </c>
      <c r="CK70" s="71" t="str">
        <f t="shared" si="16"/>
        <v/>
      </c>
      <c r="CL70" s="70" t="str">
        <f>IF($AF70="○",(VLOOKUP($CE70,参照データ!$D$65:$J$82,5,0)),"")</f>
        <v/>
      </c>
      <c r="CM70" s="71" t="str">
        <f t="shared" si="6"/>
        <v/>
      </c>
      <c r="CN70" s="70" t="str">
        <f>IF($AH70="○",(VLOOKUP($CE70,参照データ!$D$65:$J$82,6,0)),"")</f>
        <v/>
      </c>
      <c r="CO70" s="71" t="str">
        <f t="shared" si="17"/>
        <v/>
      </c>
      <c r="CP70" s="33" t="str">
        <f t="shared" si="18"/>
        <v/>
      </c>
      <c r="CQ70" s="32" t="str">
        <f t="shared" si="19"/>
        <v/>
      </c>
      <c r="CR70" s="71" t="str">
        <f t="shared" si="20"/>
        <v/>
      </c>
      <c r="CS70" s="681">
        <v>30</v>
      </c>
      <c r="CT70" s="79" t="s">
        <v>143</v>
      </c>
      <c r="CU70" s="80" t="str">
        <f t="shared" si="21"/>
        <v/>
      </c>
      <c r="CV70" s="683" t="e">
        <f>IF($CU70&gt;$CU71,VLOOKUP($CU70,参照データ!$D$65:$J$82,7,0),VLOOKUP($CU71,参照データ!$D$65:$J$82,7,0))</f>
        <v>#N/A</v>
      </c>
      <c r="CW70" s="308" t="str">
        <f>IFERROR(VLOOKUP($CV70,参照データ!$J$65:$M$82,4,0),"")</f>
        <v/>
      </c>
      <c r="CX70" s="70"/>
      <c r="CY70" s="172" t="str">
        <f t="shared" si="22"/>
        <v/>
      </c>
      <c r="DA70" s="32"/>
      <c r="DB70" s="161" t="str">
        <f t="shared" si="23"/>
        <v/>
      </c>
      <c r="DC70" s="743">
        <v>30</v>
      </c>
      <c r="DD70" s="166" t="s">
        <v>143</v>
      </c>
      <c r="DE70" s="167" t="str">
        <f t="shared" si="44"/>
        <v/>
      </c>
      <c r="DF70" s="741" t="str">
        <f>IF(OR(DE70="",DE71=""),"",IF(DE70&gt;DE71,DE70,DE71))</f>
        <v/>
      </c>
      <c r="DG70" t="str">
        <f>IF($DH70="","",DATEDIF($AZ70,参照データ!$D$19,"Y"))</f>
        <v/>
      </c>
      <c r="DH70" s="253" t="str">
        <f>IFERROR(IF($BA70="男子",VLOOKUP($DO70,参照データ!$D$88:$E$117,2,0),$DO70),0)</f>
        <v/>
      </c>
      <c r="DI70" s="84" t="str">
        <f>IF($Z70="選手権",(VLOOKUP($DH70,参照データ!$D$88:$K$117,3,0)),"")</f>
        <v/>
      </c>
      <c r="DJ70" s="85" t="str">
        <f t="shared" si="83"/>
        <v/>
      </c>
      <c r="DK70" s="84" t="str">
        <f>IF($AB70="選手権",(VLOOKUP($DH70,参照データ!$D$88:$K$117,4,0)),"")</f>
        <v/>
      </c>
      <c r="DL70" s="85" t="str">
        <f t="shared" si="84"/>
        <v/>
      </c>
      <c r="DM70" s="84" t="str">
        <f>IF($AD70="選手権",(VLOOKUP($DH70,参照データ!$D$88:$K$117,5,0)),"")</f>
        <v/>
      </c>
      <c r="DN70" s="85" t="str">
        <f t="shared" si="85"/>
        <v/>
      </c>
      <c r="DO70" s="53" t="str">
        <f>IF(AND($AZ70&gt;=参照データ!$C$90,$AZ70&lt;=参照データ!$C$88),1,IF(AND($AZ70&gt;=参照データ!$C$93,$AZ70&lt;=参照データ!$C$91),2,IF(AND($AZ70&gt;=参照データ!$C$99,$AZ70&lt;=参照データ!$C$97),3,IF(AND($AZ70&gt;=参照データ!$C$105,$AZ70&lt;=参照データ!$C$103),4,IF(AND($AZ70&gt;=参照データ!$C$111,$AZ70&lt;=参照データ!$C$109),5,IF(AND($AZ70&gt;0,$AZ70&lt;=参照データ!$C$112),6,""))))))</f>
        <v/>
      </c>
      <c r="DP70" s="84" t="str">
        <f>IF($AF70="選手権",(VLOOKUP($DO70,参照データ!$D$88:$K$117,6,0)),"")</f>
        <v/>
      </c>
      <c r="DQ70" s="85" t="str">
        <f t="shared" si="10"/>
        <v/>
      </c>
      <c r="DR70" s="84" t="str">
        <f>IF($AH70="選手権",(VLOOKUP($DO70,参照データ!$D$88:$K$117,7,0)),"")</f>
        <v/>
      </c>
      <c r="DS70" s="85" t="str">
        <f t="shared" si="24"/>
        <v/>
      </c>
      <c r="DT70" s="33" t="str">
        <f t="shared" si="25"/>
        <v/>
      </c>
      <c r="DU70" s="32" t="str">
        <f t="shared" si="26"/>
        <v/>
      </c>
      <c r="DV70" s="85" t="str">
        <f t="shared" si="27"/>
        <v/>
      </c>
      <c r="DW70" s="736">
        <v>30</v>
      </c>
      <c r="DX70" s="93" t="s">
        <v>143</v>
      </c>
      <c r="DY70" s="94" t="str">
        <f t="shared" si="37"/>
        <v/>
      </c>
      <c r="DZ70" s="737" t="e">
        <f>IF($DY70&gt;$DY71,VLOOKUP($DY70,参照データ!$D$88:$K$117,8,0),VLOOKUP($DY71,参照データ!$D$88:$K$117,8,0))</f>
        <v>#N/A</v>
      </c>
      <c r="EA70" s="312" t="str">
        <f>IFERROR(VLOOKUP($DZ70,参照データ!$K$88:$O$117,5,0),"")</f>
        <v/>
      </c>
      <c r="EC70" s="491" t="str">
        <f t="shared" si="28"/>
        <v/>
      </c>
      <c r="EH70" s="35">
        <f>(COUNTIF($J70:$O70,"&lt;&gt;"))*参照データ!$E$3</f>
        <v>0</v>
      </c>
      <c r="EI70" s="219" t="str">
        <f>IF(P70="○",参照データ!$E$5,"")</f>
        <v/>
      </c>
      <c r="EJ70" s="219" t="str">
        <f>IF($Y70="○",参照データ!$E$4,"")</f>
        <v/>
      </c>
      <c r="EK70" s="18">
        <f>(SUM(COUNTIF($R70:$V70,{"入門","初級"}))*参照データ!$E$9)+(SUM(COUNTIF($R70:$V70,{"中級","上級"})*参照データ!$E$10))</f>
        <v>0</v>
      </c>
      <c r="EL70" s="18">
        <f>IFERROR(VLOOKUP($W70,参照データ!$D$9:$J$11,7,0),0)</f>
        <v>0</v>
      </c>
      <c r="EM70" s="18">
        <f>((COUNTIF($Z70:$AH70,"○"))*参照データ!$E$12)</f>
        <v>0</v>
      </c>
      <c r="EN70" s="18" t="str">
        <f>(IF($AJ70="○",参照データ!$J$12,""))</f>
        <v/>
      </c>
      <c r="EQ70" s="18">
        <f>((COUNTIF($Z70:$AH70,"選手権"))*参照データ!$E$13)</f>
        <v>0</v>
      </c>
      <c r="ER70" s="18" t="str">
        <f>(IF($AJ70="選手権",参照データ!$J$13,""))</f>
        <v/>
      </c>
      <c r="ES70" s="18">
        <f>(COUNTIF($AQ70:$AR70,"&lt;&gt;"))*参照データ!$H$3</f>
        <v>0</v>
      </c>
      <c r="ET70" s="18"/>
      <c r="EU70" s="18" t="str">
        <f>IF(AV70&lt;&gt;"",参照データ!$H$15,"")</f>
        <v/>
      </c>
      <c r="EV70" s="98" cm="1">
        <f t="array" ref="EV70">SUM(IF(ISERROR(EH70:EU70),0,(EH70:EU70)))</f>
        <v>0</v>
      </c>
      <c r="EW70" s="18"/>
      <c r="EX70" s="18">
        <f t="shared" si="86"/>
        <v>0</v>
      </c>
      <c r="EY70" s="18">
        <f t="shared" si="29"/>
        <v>0</v>
      </c>
      <c r="EZ70" s="18">
        <f t="shared" si="38"/>
        <v>0</v>
      </c>
      <c r="FA70" s="18">
        <f t="shared" si="30"/>
        <v>0</v>
      </c>
      <c r="FB70" s="18">
        <f t="shared" si="31"/>
        <v>0</v>
      </c>
      <c r="FC70" s="18">
        <f t="shared" si="32"/>
        <v>0</v>
      </c>
      <c r="FD70" s="18">
        <f t="shared" si="12"/>
        <v>0</v>
      </c>
      <c r="FE70" t="str">
        <f t="shared" si="33"/>
        <v/>
      </c>
    </row>
    <row r="71" spans="1:161" ht="18.75" customHeight="1" thickBot="1" x14ac:dyDescent="0.25">
      <c r="A71" s="176">
        <v>60</v>
      </c>
      <c r="B71" s="14" t="str">
        <f>IF(D71="","",IF(D71="重複","",COUNTIF(B$12:$B70,"&gt;0")+1))</f>
        <v/>
      </c>
      <c r="C71" s="464"/>
      <c r="D71" s="177"/>
      <c r="E71" s="177"/>
      <c r="F71" s="31"/>
      <c r="G71" s="41"/>
      <c r="H71" s="351">
        <f t="shared" si="34"/>
        <v>0</v>
      </c>
      <c r="I71" s="193" t="str">
        <f>IF($AZ71=0,"",DATEDIF($AZ71,参照データ!$D$16,"Y"))</f>
        <v/>
      </c>
      <c r="J71" s="36"/>
      <c r="K71" s="36"/>
      <c r="L71" s="36"/>
      <c r="M71" s="36"/>
      <c r="N71" s="36"/>
      <c r="O71" s="42"/>
      <c r="P71" s="345"/>
      <c r="Q71" s="345"/>
      <c r="R71" s="43"/>
      <c r="S71" s="244"/>
      <c r="T71" s="244"/>
      <c r="U71" s="244"/>
      <c r="V71" s="245"/>
      <c r="W71" s="248"/>
      <c r="X71" s="250"/>
      <c r="Y71" s="448"/>
      <c r="Z71" s="388"/>
      <c r="AA71" s="346" t="str">
        <f>IF($Z71="○",VLOOKUP($CE71,参照データ!$D$65:$M$82,9,0),IF($Z71="選手権",VLOOKUP($DH71,参照データ!$D$88:$O$117,10,0),""))</f>
        <v/>
      </c>
      <c r="AB71" s="388"/>
      <c r="AC71" s="346" t="str">
        <f>IF($AB71="○",VLOOKUP($CE71,参照データ!$D$65:$M$82,10,0),IF($AB71="選手権",VLOOKUP($DH71,参照データ!$D$88:$O$117,11,0),""))</f>
        <v/>
      </c>
      <c r="AD71" s="388"/>
      <c r="AE71" s="346" t="str">
        <f>IF($AD71="○",VLOOKUP($CE71,参照データ!$D$65:$M$82,10,0),IF($AD71="選手権",VLOOKUP($DH71,参照データ!$D$88:$O$117,11,0),""))</f>
        <v/>
      </c>
      <c r="AF71" s="388"/>
      <c r="AG71" s="346" t="str">
        <f>IF($AF71="○",VLOOKUP($CE71,参照データ!$D$65:$M$82,10,0),IF($AF71="選手権",VLOOKUP($DO71,参照データ!$D$88:$O$117,12,0),""))</f>
        <v/>
      </c>
      <c r="AH71" s="388"/>
      <c r="AI71" s="346" t="str">
        <f>IF($AH71="○",VLOOKUP($CE71,参照データ!$D$65:$M$82,10,0),IF($AH71="選手権",VLOOKUP($DO71,参照データ!$D$88:$O$117,12,0),""))</f>
        <v/>
      </c>
      <c r="AJ71" s="388"/>
      <c r="AK71" s="511"/>
      <c r="AL71" s="346" t="str">
        <f t="shared" si="80"/>
        <v/>
      </c>
      <c r="AM71" s="449"/>
      <c r="AN71" s="450"/>
      <c r="AO71" s="450"/>
      <c r="AP71" s="447"/>
      <c r="AQ71" s="321"/>
      <c r="AR71" s="481"/>
      <c r="AS71" s="484"/>
      <c r="AT71" s="485"/>
      <c r="AU71" s="484"/>
      <c r="AV71" s="484"/>
      <c r="AW71" s="485"/>
      <c r="AZ71">
        <f t="shared" si="50"/>
        <v>0</v>
      </c>
      <c r="BA71" t="str">
        <f t="shared" si="35"/>
        <v/>
      </c>
      <c r="BB71" s="132"/>
      <c r="BD71" s="513" t="str">
        <f t="shared" si="81"/>
        <v/>
      </c>
      <c r="BE71" s="53" t="str">
        <f>IF($AZ71=0,"",IF(AND($I71&gt;=6,$I71&lt;=19),VLOOKUP($I71,参照データ!$B$24:$C$37,2,0),IF($I71&lt;6,6,19)))</f>
        <v/>
      </c>
      <c r="BF71" s="155" t="str">
        <f>IF($J71="○",VLOOKUP($BE71,参照データ!$C$24:$I$37,2,0),"")</f>
        <v/>
      </c>
      <c r="BG71" s="146" t="str">
        <f>IF($K71="○",VLOOKUP($BE71,参照データ!$C$24:$I$37,3,0),"")</f>
        <v/>
      </c>
      <c r="BH71" s="146" t="str">
        <f>IF($L71="○",VLOOKUP($BE71,参照データ!$C$24:$I$37,4,0),"")</f>
        <v/>
      </c>
      <c r="BI71" s="146" t="str">
        <f>IF($M71="○",VLOOKUP($BE71,参照データ!$C$24:$I$37,5,0),"")</f>
        <v/>
      </c>
      <c r="BJ71" s="146" t="str">
        <f>IF($N71="20日",VLOOKUP($BE71,参照データ!$C$24:$I$37,6,0),"")</f>
        <v/>
      </c>
      <c r="BK71" s="156" t="str">
        <f>IF($O71="20日",VLOOKUP($BE71,参照データ!$C$24:$I$37,7,0),"")</f>
        <v/>
      </c>
      <c r="BL71" s="155" t="str">
        <f>IF($J71="21日",VLOOKUP($BE71,参照データ!$C$24:$I$37,2,0),"")</f>
        <v/>
      </c>
      <c r="BM71" s="146" t="str">
        <f>IF($K71="21日",VLOOKUP($BE71,参照データ!$C$24:$I$37,3,0),"")</f>
        <v/>
      </c>
      <c r="BN71" s="146" t="str">
        <f>IF($L71="21日",VLOOKUP($BE71,参照データ!$C$24:$I$37,4,0),"")</f>
        <v/>
      </c>
      <c r="BO71" s="146" t="str">
        <f>IF($M71="21日",VLOOKUP($BE71,参照データ!$C$24:$I$37,5,0),"")</f>
        <v/>
      </c>
      <c r="BP71" s="146" t="str">
        <f>IF($N71="21日",VLOOKUP($BE71,参照データ!$C$24:$I$37,6,0),"")</f>
        <v/>
      </c>
      <c r="BQ71" s="156" t="str">
        <f>IF($O71="21日",VLOOKUP($BE71,参照データ!$C$24:$I$37,7,0),"")</f>
        <v/>
      </c>
      <c r="BR71" s="223" t="str">
        <f t="shared" si="42"/>
        <v/>
      </c>
      <c r="BS71" s="154" t="str">
        <f>IF($R71="入門",VLOOKUP($BE71,参照データ!$C$43:$U$56,2,0),IF($R71="初級",VLOOKUP($BE71,参照データ!$C$43:$U$56,3,0),IF($R71="中級",VLOOKUP($BE71,参照データ!$C$43:$U$56,4,0),IF($R71="上級",VLOOKUP($BE71,参照データ!$C$43:$U$56,5,0),""))))</f>
        <v/>
      </c>
      <c r="BT71" s="154" t="str">
        <f>IF($S71="初級",VLOOKUP($BE71,参照データ!$C$43:$U$56,6,0),IF($S71="中級",VLOOKUP($BE71,参照データ!$C$43:$U$56,7,0),IF($S71="上級",VLOOKUP($BE71,参照データ!$C$43:$U$56,8,0),"")))</f>
        <v/>
      </c>
      <c r="BU71" s="154" t="str">
        <f>IF($T71="初級",VLOOKUP($BE71,参照データ!$C$43:$U$56,9,0),IF($T71="上級",VLOOKUP($BE71,参照データ!$C$43:$U$56,10,0),""))</f>
        <v/>
      </c>
      <c r="BV71" s="154" t="str">
        <f>IF($U71="初級",VLOOKUP($BE71,参照データ!$C$43:$U$56,11,0),IF($U71="中級",VLOOKUP($BE71,参照データ!$C$43:$U$56,12,0),IF($U71="上級",VLOOKUP($BE71,参照データ!$C$43:$U$56,13,0),"")))</f>
        <v/>
      </c>
      <c r="BW71" s="154" t="str">
        <f>IF($V71="初級",VLOOKUP($BE71,参照データ!$C$43:$U$56,14,0),IF($V71="中級",VLOOKUP($BE71,参照データ!$C$43:$U$56,15,0),IF($V71="上級",VLOOKUP($BE71,参照データ!$C$43:$U$56,16,0),"")))</f>
        <v/>
      </c>
      <c r="BX71" s="47" t="str">
        <f t="shared" si="5"/>
        <v/>
      </c>
      <c r="BY71" s="47" t="str">
        <f>IF($W71="初級",VLOOKUP($BE71,参照データ!$C$43:$U$56,17,0),IF($W71="中級",VLOOKUP($BE71,参照データ!$C$43:$U$56,18,0),IF($W71="上級",VLOOKUP($BE71,参照データ!$C$43:$U$56,19,0),"")))</f>
        <v/>
      </c>
      <c r="BZ71" s="723"/>
      <c r="CA71" s="67" t="s">
        <v>283</v>
      </c>
      <c r="CB71" s="135" t="str">
        <f t="shared" si="13"/>
        <v/>
      </c>
      <c r="CC71" s="689"/>
      <c r="CE71" s="53" t="str">
        <f>IF(AND($AZ71&gt;=参照データ!$C$67,$AZ71&lt;=参照データ!$C$65),1,IF(AND($AZ71&gt;=参照データ!$C$70,$AZ71&lt;=参照データ!$C$68),2,IF(AND($AZ71&gt;=参照データ!$C$73,$AZ71&lt;=参照データ!$C$71),3,IF(AND($AZ71&gt;=参照データ!$C$76,$AZ71&lt;=参照データ!$C$74),4,IF(AND($AZ71&gt;=参照データ!$C$79,$AZ71&lt;=参照データ!$C$77),5,IF(AND($AZ71&gt;0,$AZ71&lt;=参照データ!$C$80),6,""))))))</f>
        <v/>
      </c>
      <c r="CF71" s="141" t="str">
        <f>IF($Z71="○",(VLOOKUP($CE71,参照データ!$D$65:$J$82,2,0)),"")</f>
        <v/>
      </c>
      <c r="CG71" s="71" t="str">
        <f t="shared" si="14"/>
        <v/>
      </c>
      <c r="CH71" s="70" t="str">
        <f>IF($AB71="○",(VLOOKUP($CE71,参照データ!$D$65:$J$82,3,0)),"")</f>
        <v/>
      </c>
      <c r="CI71" s="71" t="str">
        <f t="shared" si="15"/>
        <v/>
      </c>
      <c r="CJ71" s="70" t="str">
        <f>IF($AD71="○",(VLOOKUP($CE71,参照データ!$D$65:$J$82,4,0)),"")</f>
        <v/>
      </c>
      <c r="CK71" s="71" t="str">
        <f t="shared" si="16"/>
        <v/>
      </c>
      <c r="CL71" s="70" t="str">
        <f>IF($AF71="○",(VLOOKUP($CE71,参照データ!$D$65:$J$82,5,0)),"")</f>
        <v/>
      </c>
      <c r="CM71" s="71" t="str">
        <f t="shared" si="6"/>
        <v/>
      </c>
      <c r="CN71" s="70" t="str">
        <f>IF($AH71="○",(VLOOKUP($CE71,参照データ!$D$65:$J$82,6,0)),"")</f>
        <v/>
      </c>
      <c r="CO71" s="71" t="str">
        <f t="shared" si="17"/>
        <v/>
      </c>
      <c r="CP71" s="33" t="str">
        <f t="shared" si="18"/>
        <v/>
      </c>
      <c r="CQ71" s="32" t="str">
        <f t="shared" si="19"/>
        <v/>
      </c>
      <c r="CR71" s="71" t="str">
        <f t="shared" si="20"/>
        <v/>
      </c>
      <c r="CS71" s="685"/>
      <c r="CT71" s="81" t="s">
        <v>144</v>
      </c>
      <c r="CU71" s="78" t="str">
        <f t="shared" si="21"/>
        <v/>
      </c>
      <c r="CV71" s="684"/>
      <c r="CW71" s="308" t="str">
        <f t="shared" ref="CW71" si="122">$CW70</f>
        <v/>
      </c>
      <c r="CX71" s="70"/>
      <c r="CY71" s="172" t="str">
        <f t="shared" si="22"/>
        <v/>
      </c>
      <c r="DA71" s="32"/>
      <c r="DB71" s="161" t="str">
        <f t="shared" si="23"/>
        <v/>
      </c>
      <c r="DC71" s="796"/>
      <c r="DD71" s="168" t="s">
        <v>144</v>
      </c>
      <c r="DE71" s="165" t="str">
        <f t="shared" si="44"/>
        <v/>
      </c>
      <c r="DF71" s="797"/>
      <c r="DG71" t="str">
        <f>IF($DH71="","",DATEDIF($AZ71,参照データ!$D$19,"Y"))</f>
        <v/>
      </c>
      <c r="DH71" s="253" t="str">
        <f>IFERROR(IF($BA71="男子",VLOOKUP($DO71,参照データ!$D$88:$E$117,2,0),$DO71),0)</f>
        <v/>
      </c>
      <c r="DI71" s="84" t="str">
        <f>IF($Z71="選手権",(VLOOKUP($DH71,参照データ!$D$88:$K$117,3,0)),"")</f>
        <v/>
      </c>
      <c r="DJ71" s="85" t="str">
        <f t="shared" si="83"/>
        <v/>
      </c>
      <c r="DK71" s="84" t="str">
        <f>IF($AB71="選手権",(VLOOKUP($DH71,参照データ!$D$88:$K$117,4,0)),"")</f>
        <v/>
      </c>
      <c r="DL71" s="85" t="str">
        <f t="shared" si="84"/>
        <v/>
      </c>
      <c r="DM71" s="84" t="str">
        <f>IF($AD71="選手権",(VLOOKUP($DH71,参照データ!$D$88:$K$117,5,0)),"")</f>
        <v/>
      </c>
      <c r="DN71" s="85" t="str">
        <f t="shared" si="85"/>
        <v/>
      </c>
      <c r="DO71" s="53" t="str">
        <f>IF(AND($AZ71&gt;=参照データ!$C$90,$AZ71&lt;=参照データ!$C$88),1,IF(AND($AZ71&gt;=参照データ!$C$93,$AZ71&lt;=参照データ!$C$91),2,IF(AND($AZ71&gt;=参照データ!$C$99,$AZ71&lt;=参照データ!$C$97),3,IF(AND($AZ71&gt;=参照データ!$C$105,$AZ71&lt;=参照データ!$C$103),4,IF(AND($AZ71&gt;=参照データ!$C$111,$AZ71&lt;=参照データ!$C$109),5,IF(AND($AZ71&gt;0,$AZ71&lt;=参照データ!$C$112),6,""))))))</f>
        <v/>
      </c>
      <c r="DP71" s="84" t="str">
        <f>IF($AF71="選手権",(VLOOKUP($DO71,参照データ!$D$88:$K$117,6,0)),"")</f>
        <v/>
      </c>
      <c r="DQ71" s="85" t="str">
        <f t="shared" si="10"/>
        <v/>
      </c>
      <c r="DR71" s="84" t="str">
        <f>IF($AH71="選手権",(VLOOKUP($DO71,参照データ!$D$88:$K$117,7,0)),"")</f>
        <v/>
      </c>
      <c r="DS71" s="85" t="str">
        <f t="shared" si="24"/>
        <v/>
      </c>
      <c r="DT71" s="33" t="str">
        <f t="shared" si="25"/>
        <v/>
      </c>
      <c r="DU71" s="32" t="str">
        <f t="shared" si="26"/>
        <v/>
      </c>
      <c r="DV71" s="85" t="str">
        <f t="shared" si="27"/>
        <v/>
      </c>
      <c r="DW71" s="791"/>
      <c r="DX71" s="95" t="s">
        <v>144</v>
      </c>
      <c r="DY71" s="92" t="str">
        <f t="shared" si="37"/>
        <v/>
      </c>
      <c r="DZ71" s="735"/>
      <c r="EA71" s="312" t="str">
        <f t="shared" si="118"/>
        <v/>
      </c>
      <c r="EC71" s="491" t="str">
        <f t="shared" si="28"/>
        <v/>
      </c>
      <c r="EH71" s="35">
        <f>(COUNTIF($J71:$O71,"&lt;&gt;"))*参照データ!$E$3</f>
        <v>0</v>
      </c>
      <c r="EI71" s="219" t="str">
        <f>IF(P71="○",参照データ!$E$5,"")</f>
        <v/>
      </c>
      <c r="EJ71" s="219" t="str">
        <f>IF($Y71="○",参照データ!$E$4,"")</f>
        <v/>
      </c>
      <c r="EK71" s="18">
        <f>(SUM(COUNTIF($R71:$V71,{"入門","初級"}))*参照データ!$E$9)+(SUM(COUNTIF($R71:$V71,{"中級","上級"})*参照データ!$E$10))</f>
        <v>0</v>
      </c>
      <c r="EL71" s="18">
        <f>IFERROR(VLOOKUP($W71,参照データ!$D$9:$J$11,7,0),0)</f>
        <v>0</v>
      </c>
      <c r="EM71" s="18">
        <f>((COUNTIF($Z71:$AH71,"○"))*参照データ!$E$12)</f>
        <v>0</v>
      </c>
      <c r="EN71" s="18" t="str">
        <f>(IF($AJ71="○",参照データ!$J$12,""))</f>
        <v/>
      </c>
      <c r="EQ71" s="18">
        <f>((COUNTIF($Z71:$AH71,"選手権"))*参照データ!$E$13)</f>
        <v>0</v>
      </c>
      <c r="ER71" s="18" t="str">
        <f>(IF($AJ71="選手権",参照データ!$J$13,""))</f>
        <v/>
      </c>
      <c r="ES71" s="18">
        <f>(COUNTIF($AQ71:$AR71,"&lt;&gt;"))*参照データ!$H$3</f>
        <v>0</v>
      </c>
      <c r="ET71" s="18"/>
      <c r="EU71" s="18" t="str">
        <f>IF(AV71&lt;&gt;"",参照データ!$H$15,"")</f>
        <v/>
      </c>
      <c r="EV71" s="98" cm="1">
        <f t="array" ref="EV71">SUM(IF(ISERROR(EH71:EU71),0,(EH71:EU71)))</f>
        <v>0</v>
      </c>
      <c r="EW71" s="18"/>
      <c r="EX71" s="18">
        <f t="shared" si="86"/>
        <v>0</v>
      </c>
      <c r="EY71" s="18">
        <f t="shared" si="29"/>
        <v>0</v>
      </c>
      <c r="EZ71" s="18">
        <f t="shared" si="38"/>
        <v>0</v>
      </c>
      <c r="FA71" s="18">
        <f t="shared" si="30"/>
        <v>0</v>
      </c>
      <c r="FB71" s="18">
        <f t="shared" si="31"/>
        <v>0</v>
      </c>
      <c r="FC71" s="18">
        <f t="shared" si="32"/>
        <v>0</v>
      </c>
      <c r="FD71" s="18">
        <f t="shared" si="12"/>
        <v>0</v>
      </c>
      <c r="FE71" t="str">
        <f t="shared" si="33"/>
        <v/>
      </c>
    </row>
    <row r="72" spans="1:161" ht="18.75" customHeight="1" x14ac:dyDescent="0.2">
      <c r="BF72" s="1" t="s">
        <v>411</v>
      </c>
      <c r="BG72" s="1" t="s">
        <v>179</v>
      </c>
      <c r="BH72" s="1" t="s">
        <v>182</v>
      </c>
      <c r="BI72" s="1" t="s">
        <v>183</v>
      </c>
      <c r="BJ72" s="1" t="s">
        <v>205</v>
      </c>
      <c r="BK72" s="1" t="s">
        <v>422</v>
      </c>
      <c r="BL72" s="1" t="s">
        <v>411</v>
      </c>
      <c r="BM72" s="1" t="s">
        <v>179</v>
      </c>
      <c r="BN72" s="1" t="s">
        <v>182</v>
      </c>
      <c r="BO72" s="1" t="s">
        <v>183</v>
      </c>
      <c r="BP72" s="1" t="s">
        <v>205</v>
      </c>
      <c r="BQ72" s="1" t="s">
        <v>422</v>
      </c>
      <c r="BR72" s="1" t="s">
        <v>457</v>
      </c>
      <c r="BS72" t="s">
        <v>578</v>
      </c>
      <c r="CF72" t="s">
        <v>856</v>
      </c>
      <c r="CG72" s="1">
        <f>COUNTIF($CF$12:$CF$71,$CF72)</f>
        <v>0</v>
      </c>
      <c r="CI72" s="1"/>
      <c r="CK72" s="1"/>
      <c r="CM72" s="1"/>
      <c r="CO72" s="1"/>
      <c r="DI72" t="s">
        <v>775</v>
      </c>
      <c r="DJ72" s="1">
        <f>COUNTIF($DI$12:$DI$71,$DI72)</f>
        <v>0</v>
      </c>
      <c r="DL72" s="1"/>
      <c r="DN72" s="1"/>
      <c r="DQ72" s="1"/>
      <c r="EH72" s="18">
        <f>SUM(EH12:EH71)</f>
        <v>0</v>
      </c>
      <c r="EI72" s="18">
        <f>SUM(EI12:EI71)</f>
        <v>0</v>
      </c>
      <c r="EJ72" s="18">
        <f>SUM(EJ12:EJ71)</f>
        <v>0</v>
      </c>
      <c r="EK72" s="18">
        <f t="shared" ref="EK72:EL72" si="123">SUM(EK12:EK71)</f>
        <v>0</v>
      </c>
      <c r="EL72" s="18">
        <f t="shared" si="123"/>
        <v>0</v>
      </c>
      <c r="EM72" s="18">
        <f>((COUNTIF($Z72:$AH72,"○"))*参照データ!$E$12)</f>
        <v>0</v>
      </c>
      <c r="EN72" s="18">
        <f t="shared" ref="EN72" si="124">SUM(EN12:EN71)</f>
        <v>0</v>
      </c>
      <c r="EO72" s="18">
        <f t="shared" ref="EO72:EP72" si="125">SUM(EO12:EO71)</f>
        <v>0</v>
      </c>
      <c r="EP72" s="18">
        <f t="shared" si="125"/>
        <v>0</v>
      </c>
      <c r="EQ72" s="18">
        <f t="shared" ref="EQ72" si="126">SUM(EQ12:EQ71)</f>
        <v>0</v>
      </c>
      <c r="ER72" s="18">
        <f t="shared" ref="ER72:ES72" si="127">SUM(ER12:ER71)</f>
        <v>0</v>
      </c>
      <c r="ES72" s="18">
        <f t="shared" si="127"/>
        <v>0</v>
      </c>
      <c r="ET72" s="18">
        <f>団体情報・入力の仕方!$P$38*1000</f>
        <v>0</v>
      </c>
      <c r="EU72" s="18">
        <f>SUM(EU12:EU71)</f>
        <v>0</v>
      </c>
      <c r="EV72" s="18">
        <f>SUM(EV12:EV71)</f>
        <v>0</v>
      </c>
    </row>
    <row r="73" spans="1:161" ht="18.75" customHeight="1" x14ac:dyDescent="0.2">
      <c r="BF73" s="1">
        <f>COUNTIF($BF$12:$BF$71,$BF72)</f>
        <v>0</v>
      </c>
      <c r="BG73" s="1">
        <f>COUNTIF($BG$12:$BG$71,$BG72)</f>
        <v>0</v>
      </c>
      <c r="BH73" s="1">
        <f>COUNTIF($BH$12:$BH$71,$BH72)</f>
        <v>0</v>
      </c>
      <c r="BI73" s="1">
        <f>COUNTIF($BI$12:$BI$71,$BI72)</f>
        <v>0</v>
      </c>
      <c r="BJ73" s="1">
        <f>COUNTIF($BJ$12:$BJ$71,$BJ72)</f>
        <v>0</v>
      </c>
      <c r="BK73" s="1">
        <f>COUNTIF($BK$12:$BK$71,$BK72)</f>
        <v>0</v>
      </c>
      <c r="BL73" s="1">
        <f>COUNTIF($BL$12:$BL$71,$BL72)</f>
        <v>0</v>
      </c>
      <c r="BM73" s="1">
        <f>COUNTIF($BM$12:$BM$71,$BM72)</f>
        <v>0</v>
      </c>
      <c r="BN73" s="1">
        <f>COUNTIF($BN$12:$BN$71,$BN72)</f>
        <v>0</v>
      </c>
      <c r="BO73" s="1">
        <f>COUNTIF($BO$12:$BO$71,$BO72)</f>
        <v>0</v>
      </c>
      <c r="BP73" s="1">
        <f>COUNTIF($BP$12:$BP$71,$BP72)</f>
        <v>0</v>
      </c>
      <c r="BQ73" s="1">
        <f>COUNTIF($BQ$12:$BQ$71,$BQ72)</f>
        <v>0</v>
      </c>
      <c r="BR73" s="1">
        <f>SUM(BR12:BR71)</f>
        <v>0</v>
      </c>
      <c r="BS73" s="1">
        <f>COUNTIF($BS$12:$BS$71,$BS72)</f>
        <v>0</v>
      </c>
      <c r="CF73" t="s">
        <v>857</v>
      </c>
      <c r="CG73" s="1">
        <f t="shared" ref="CG73:CG77" si="128">COUNTIF($CF$12:$CF$71,$CF73)</f>
        <v>0</v>
      </c>
      <c r="CH73" t="s">
        <v>862</v>
      </c>
      <c r="CI73" s="1">
        <f t="shared" ref="CI73" si="129">COUNTIF($CH$12:$CH$71,$CH73)</f>
        <v>0</v>
      </c>
      <c r="CJ73" t="s">
        <v>865</v>
      </c>
      <c r="CK73" s="1">
        <f>COUNTIF($CJ$12:$CJ$71,$CJ73)</f>
        <v>0</v>
      </c>
      <c r="CL73" t="s">
        <v>867</v>
      </c>
      <c r="CM73" s="1">
        <f t="shared" ref="CM73" si="130">COUNTIF($CL$12:$CL$71,$CL73)</f>
        <v>0</v>
      </c>
      <c r="CN73" t="s">
        <v>870</v>
      </c>
      <c r="CO73" s="1">
        <f>COUNTIF($CN$12:$CN$71,$CN73)</f>
        <v>0</v>
      </c>
      <c r="CV73" t="s">
        <v>872</v>
      </c>
      <c r="CW73" s="1">
        <f>COUNTIF($CV$12:$CV$71,$CV73)</f>
        <v>0</v>
      </c>
      <c r="DI73" t="s">
        <v>784</v>
      </c>
      <c r="DJ73" s="1">
        <f t="shared" ref="DJ73:DJ81" si="131">COUNTIF($DI$12:$DI$71,$DI73)</f>
        <v>0</v>
      </c>
      <c r="DK73" t="s">
        <v>779</v>
      </c>
      <c r="DL73" s="1">
        <f>COUNTIF($DK$12:$DK$71,$DK73)</f>
        <v>0</v>
      </c>
      <c r="DM73" t="s">
        <v>780</v>
      </c>
      <c r="DN73" s="1">
        <f>COUNTIF($DM$12:$DM$71,$DM73)</f>
        <v>0</v>
      </c>
      <c r="DP73" t="s">
        <v>781</v>
      </c>
      <c r="DQ73" s="1">
        <f>COUNTIF($DP$12:$DP$71,$DP73)</f>
        <v>0</v>
      </c>
      <c r="DR73" t="s">
        <v>782</v>
      </c>
      <c r="DS73" s="1">
        <f>COUNTIF($DR$12:$DR$71,$DR73)</f>
        <v>0</v>
      </c>
      <c r="DZ73" t="s">
        <v>783</v>
      </c>
      <c r="EA73" s="1">
        <f>COUNTIF($DZ$12:$DZ$71,$DZ73)</f>
        <v>0</v>
      </c>
      <c r="EH73" s="677">
        <f>SUM(EH72:EL72)</f>
        <v>0</v>
      </c>
      <c r="EI73" s="677"/>
      <c r="EJ73" s="677"/>
      <c r="EK73" s="677"/>
      <c r="EL73" s="677"/>
      <c r="EM73" s="677">
        <f>SUM(EM72:EP72)</f>
        <v>0</v>
      </c>
      <c r="EN73" s="677"/>
      <c r="EO73" s="677"/>
      <c r="EP73" s="677"/>
      <c r="EQ73" s="678">
        <f>SUM(EQ72:ER72)</f>
        <v>0</v>
      </c>
      <c r="ER73" s="678"/>
      <c r="ES73" s="462"/>
      <c r="ET73" s="462"/>
      <c r="EU73" s="462"/>
    </row>
    <row r="74" spans="1:161" ht="18.75" customHeight="1" x14ac:dyDescent="0.2">
      <c r="BF74" s="1" t="s">
        <v>412</v>
      </c>
      <c r="BG74" s="1" t="s">
        <v>184</v>
      </c>
      <c r="BH74" s="1" t="s">
        <v>185</v>
      </c>
      <c r="BI74" s="1" t="s">
        <v>186</v>
      </c>
      <c r="BJ74" s="1" t="s">
        <v>206</v>
      </c>
      <c r="BK74" s="1" t="s">
        <v>423</v>
      </c>
      <c r="BL74" s="1" t="s">
        <v>412</v>
      </c>
      <c r="BM74" s="1" t="s">
        <v>184</v>
      </c>
      <c r="BN74" s="1" t="s">
        <v>185</v>
      </c>
      <c r="BO74" s="1" t="s">
        <v>186</v>
      </c>
      <c r="BP74" s="1" t="s">
        <v>206</v>
      </c>
      <c r="BQ74" s="1" t="s">
        <v>423</v>
      </c>
      <c r="BS74" t="s">
        <v>579</v>
      </c>
      <c r="CF74" t="s">
        <v>858</v>
      </c>
      <c r="CG74" s="1">
        <f t="shared" si="128"/>
        <v>0</v>
      </c>
      <c r="CH74" t="s">
        <v>863</v>
      </c>
      <c r="CI74" s="1">
        <f>COUNTIF($CH$12:$CH$71,$CH74)</f>
        <v>0</v>
      </c>
      <c r="CJ74" t="s">
        <v>866</v>
      </c>
      <c r="CK74" s="1">
        <f>COUNTIF($CJ$12:$CJ$71,$CJ74)</f>
        <v>0</v>
      </c>
      <c r="CL74" t="s">
        <v>868</v>
      </c>
      <c r="CM74" s="1">
        <f>COUNTIF($CL$12:$CL$71,$CL74)</f>
        <v>0</v>
      </c>
      <c r="CN74" t="s">
        <v>871</v>
      </c>
      <c r="CO74" s="1">
        <f>COUNTIF($CN$12:$CN$71,$CN74)</f>
        <v>0</v>
      </c>
      <c r="CV74" t="s">
        <v>873</v>
      </c>
      <c r="CW74" s="1">
        <f>COUNTIF($CV$12:$CV$71,$CV74)</f>
        <v>0</v>
      </c>
      <c r="DI74" t="s">
        <v>793</v>
      </c>
      <c r="DJ74" s="1">
        <f t="shared" si="131"/>
        <v>0</v>
      </c>
      <c r="DK74" t="s">
        <v>794</v>
      </c>
      <c r="DL74" s="1">
        <f>COUNTIF($DK$12:$DK$71,$DK74)</f>
        <v>0</v>
      </c>
      <c r="DM74" t="s">
        <v>795</v>
      </c>
      <c r="DN74" s="1">
        <f>COUNTIF($DM$12:$DM$71,$DM74)</f>
        <v>0</v>
      </c>
      <c r="DP74" t="s">
        <v>796</v>
      </c>
      <c r="DQ74" s="1">
        <f>COUNTIF($DP$12:$DP$71,$DP74)</f>
        <v>0</v>
      </c>
      <c r="DR74" t="s">
        <v>797</v>
      </c>
      <c r="DS74" s="1">
        <f>COUNTIF($DR$12:$DR$71,$DR74)</f>
        <v>0</v>
      </c>
      <c r="DZ74" t="s">
        <v>798</v>
      </c>
      <c r="EA74" s="1">
        <f>COUNTIF($DZ$12:$DZ$71,$DZ74)</f>
        <v>0</v>
      </c>
      <c r="EC74" t="s">
        <v>708</v>
      </c>
      <c r="ED74" s="1">
        <f>COUNTIF($EC$12:$EC$71,$EC74)</f>
        <v>0</v>
      </c>
    </row>
    <row r="75" spans="1:161" ht="18.75" hidden="1" customHeight="1" x14ac:dyDescent="0.2">
      <c r="D75">
        <f>COUNTA($D$12:$D$71)</f>
        <v>0</v>
      </c>
      <c r="AZ75" s="1"/>
      <c r="BF75" s="1">
        <f>COUNTIF($BF$12:$BF$71,$BF74)</f>
        <v>0</v>
      </c>
      <c r="BG75" s="1">
        <f>COUNTIF($BG$12:$BG$71,$BG74)</f>
        <v>0</v>
      </c>
      <c r="BH75" s="1">
        <f>COUNTIF($BH$12:$BH$71,$BH74)</f>
        <v>0</v>
      </c>
      <c r="BI75" s="1">
        <f>COUNTIF($BI$12:$BI$71,$BI74)</f>
        <v>0</v>
      </c>
      <c r="BJ75" s="1">
        <f>COUNTIF($BJ$12:$BJ$71,$BJ74)</f>
        <v>0</v>
      </c>
      <c r="BK75" s="1">
        <f>COUNTIF($BK$12:$BK$71,$BK74)</f>
        <v>0</v>
      </c>
      <c r="BL75" s="1">
        <f>COUNTIF($BL$12:$BL$71,$BL74)</f>
        <v>0</v>
      </c>
      <c r="BM75" s="1">
        <f>COUNTIF($BM$12:$BM$71,$BM74)</f>
        <v>0</v>
      </c>
      <c r="BN75" s="1">
        <f>COUNTIF($BN$12:$BN$71,$BN74)</f>
        <v>0</v>
      </c>
      <c r="BO75" s="1">
        <f>COUNTIF($BO$12:$BO$71,$BO74)</f>
        <v>0</v>
      </c>
      <c r="BP75" s="1">
        <f>COUNTIF($BP$12:$BP$71,$BP74)</f>
        <v>0</v>
      </c>
      <c r="BQ75" s="1">
        <f>COUNTIF($BQ$12:$BQ$71,$BQ74)</f>
        <v>0</v>
      </c>
      <c r="BS75" s="1">
        <f>COUNTIF($BS$12:$BS$71,$BS74)</f>
        <v>0</v>
      </c>
      <c r="CF75" t="s">
        <v>859</v>
      </c>
      <c r="CG75" s="1">
        <f t="shared" si="128"/>
        <v>0</v>
      </c>
      <c r="CH75" t="s">
        <v>864</v>
      </c>
      <c r="CI75" s="1">
        <f>COUNTIF($CH$12:$CH$71,$CH75)</f>
        <v>0</v>
      </c>
      <c r="CJ75" t="s">
        <v>754</v>
      </c>
      <c r="CK75" s="1">
        <f t="shared" ref="CK75:CK77" si="132">COUNTIF($CJ$12:$CJ$71,$CJ75)</f>
        <v>0</v>
      </c>
      <c r="CL75" t="s">
        <v>755</v>
      </c>
      <c r="CM75" s="1">
        <f>COUNTIF($CL$12:$CL$71,$CL75)</f>
        <v>0</v>
      </c>
      <c r="CN75" t="s">
        <v>756</v>
      </c>
      <c r="CO75" s="1">
        <f t="shared" ref="CO75:CO77" si="133">COUNTIF($CN$12:$CN$71,$CN75)</f>
        <v>0</v>
      </c>
      <c r="CV75" t="s">
        <v>757</v>
      </c>
      <c r="CW75" s="1">
        <f>COUNTIF($CV$12:$CV$71,$CV75)</f>
        <v>0</v>
      </c>
      <c r="DI75" t="s">
        <v>804</v>
      </c>
      <c r="DJ75" s="1">
        <f t="shared" si="131"/>
        <v>0</v>
      </c>
      <c r="DK75" t="s">
        <v>805</v>
      </c>
      <c r="DL75" s="1">
        <f>COUNTIF($DK$12:$DK$71,$DK75)</f>
        <v>0</v>
      </c>
      <c r="DM75" t="s">
        <v>806</v>
      </c>
      <c r="DN75" s="1">
        <f t="shared" ref="DN75:DN81" si="134">COUNTIF($DM$12:$DM$71,$DM75)</f>
        <v>0</v>
      </c>
      <c r="DP75" t="s">
        <v>807</v>
      </c>
      <c r="DQ75" s="1">
        <f>COUNTIF($DP$12:$DP$71,$DP75)</f>
        <v>0</v>
      </c>
      <c r="DR75" t="s">
        <v>808</v>
      </c>
      <c r="DS75" s="1">
        <f t="shared" ref="DS75:DS77" si="135">COUNTIF($DR$12:$DR$71,$DR75)</f>
        <v>0</v>
      </c>
      <c r="DZ75" t="s">
        <v>809</v>
      </c>
      <c r="EA75" s="1">
        <f>COUNTIF($DZ$12:$DZ$71,$DZ75)</f>
        <v>0</v>
      </c>
    </row>
    <row r="76" spans="1:161" ht="18.75" customHeight="1" x14ac:dyDescent="0.2">
      <c r="AY76" s="1"/>
      <c r="AZ76" s="1"/>
      <c r="BF76" s="1" t="s">
        <v>413</v>
      </c>
      <c r="BG76" s="1" t="s">
        <v>180</v>
      </c>
      <c r="BH76" s="1" t="s">
        <v>187</v>
      </c>
      <c r="BI76" s="1" t="s">
        <v>188</v>
      </c>
      <c r="BJ76" s="1" t="s">
        <v>207</v>
      </c>
      <c r="BK76" s="1" t="s">
        <v>424</v>
      </c>
      <c r="BL76" s="1" t="s">
        <v>413</v>
      </c>
      <c r="BM76" s="1" t="s">
        <v>180</v>
      </c>
      <c r="BN76" s="1" t="s">
        <v>187</v>
      </c>
      <c r="BO76" s="1" t="s">
        <v>188</v>
      </c>
      <c r="BP76" s="1" t="s">
        <v>207</v>
      </c>
      <c r="BQ76" s="1" t="s">
        <v>424</v>
      </c>
      <c r="BS76" t="s">
        <v>418</v>
      </c>
      <c r="CF76" t="s">
        <v>860</v>
      </c>
      <c r="CG76" s="1">
        <f t="shared" si="128"/>
        <v>0</v>
      </c>
      <c r="CH76" t="s">
        <v>761</v>
      </c>
      <c r="CI76" s="1">
        <f>COUNTIF($CH$12:$CH$71,$CH76)</f>
        <v>0</v>
      </c>
      <c r="CJ76" t="s">
        <v>762</v>
      </c>
      <c r="CK76" s="1">
        <f t="shared" si="132"/>
        <v>0</v>
      </c>
      <c r="CL76" t="s">
        <v>869</v>
      </c>
      <c r="CM76" s="1">
        <f>COUNTIF($CL$12:$CL$71,$CL76)</f>
        <v>0</v>
      </c>
      <c r="CN76" t="s">
        <v>763</v>
      </c>
      <c r="CO76" s="1">
        <f t="shared" si="133"/>
        <v>0</v>
      </c>
      <c r="CV76" t="s">
        <v>764</v>
      </c>
      <c r="CW76" s="1">
        <f>COUNTIF($CV$12:$CV$71,$CV76)</f>
        <v>0</v>
      </c>
      <c r="DI76" t="s">
        <v>815</v>
      </c>
      <c r="DJ76" s="1">
        <f t="shared" si="131"/>
        <v>0</v>
      </c>
      <c r="DK76" t="s">
        <v>816</v>
      </c>
      <c r="DL76" s="1">
        <f t="shared" ref="DL76:DL81" si="136">COUNTIF($DK$12:$DK$71,$DK76)</f>
        <v>0</v>
      </c>
      <c r="DM76" t="s">
        <v>817</v>
      </c>
      <c r="DN76" s="1">
        <f t="shared" si="134"/>
        <v>0</v>
      </c>
      <c r="DP76" t="s">
        <v>818</v>
      </c>
      <c r="DQ76" s="1">
        <f>COUNTIF($DP$12:$DP$71,$DP76)</f>
        <v>0</v>
      </c>
      <c r="DR76" t="s">
        <v>819</v>
      </c>
      <c r="DS76" s="1">
        <f t="shared" si="135"/>
        <v>0</v>
      </c>
      <c r="DZ76" t="s">
        <v>820</v>
      </c>
      <c r="EA76" s="1">
        <f>COUNTIF($DZ$12:$DZ$71,$DZ76)</f>
        <v>0</v>
      </c>
      <c r="EC76" t="s">
        <v>689</v>
      </c>
      <c r="ED76" s="1">
        <f>COUNTIF($EC$12:$EC$71,$EC76)</f>
        <v>0</v>
      </c>
    </row>
    <row r="77" spans="1:161" ht="18.75" customHeight="1" x14ac:dyDescent="0.2">
      <c r="BF77" s="1">
        <f>COUNTIF($BF$12:$BF$71,$BF76)</f>
        <v>0</v>
      </c>
      <c r="BG77" s="1">
        <f>COUNTIF($BG$12:$BG$71,$BG76)</f>
        <v>0</v>
      </c>
      <c r="BH77" s="1">
        <f>COUNTIF($BH$12:$BH$71,$BH76)</f>
        <v>0</v>
      </c>
      <c r="BI77" s="1">
        <f>COUNTIF($BI$12:$BI$71,$BI76)</f>
        <v>0</v>
      </c>
      <c r="BJ77" s="1">
        <f>COUNTIF($BJ$12:$BJ$71,$BJ76)</f>
        <v>0</v>
      </c>
      <c r="BK77" s="1">
        <f>COUNTIF($BK$12:$BK$71,$BK76)</f>
        <v>0</v>
      </c>
      <c r="BL77" s="1">
        <f>COUNTIF($BL$12:$BL$71,$BL76)</f>
        <v>0</v>
      </c>
      <c r="BM77" s="1">
        <f>COUNTIF($BM$12:$BM$71,$BM76)</f>
        <v>0</v>
      </c>
      <c r="BN77" s="1">
        <f>COUNTIF($BN$12:$BN$71,$BN76)</f>
        <v>0</v>
      </c>
      <c r="BO77" s="1">
        <f>COUNTIF($BO$12:$BO$71,$BO76)</f>
        <v>0</v>
      </c>
      <c r="BP77" s="1">
        <f>COUNTIF($BP$12:$BP$71,$BP76)</f>
        <v>0</v>
      </c>
      <c r="BQ77" s="1">
        <f>COUNTIF($BQ$12:$BQ$71,$BQ76)</f>
        <v>0</v>
      </c>
      <c r="BS77" s="1">
        <f>COUNTIF($BS$12:$BS$71,$BS76)</f>
        <v>0</v>
      </c>
      <c r="CF77" t="s">
        <v>861</v>
      </c>
      <c r="CG77" s="1">
        <f t="shared" si="128"/>
        <v>0</v>
      </c>
      <c r="CH77" t="s">
        <v>768</v>
      </c>
      <c r="CI77" s="1">
        <f>COUNTIF($CH$12:$CH$71,$CH77)</f>
        <v>0</v>
      </c>
      <c r="CJ77" t="s">
        <v>769</v>
      </c>
      <c r="CK77" s="1">
        <f t="shared" si="132"/>
        <v>0</v>
      </c>
      <c r="CL77" t="s">
        <v>770</v>
      </c>
      <c r="CM77" s="1">
        <f>COUNTIF($CL$12:$CL$71,$CL77)</f>
        <v>0</v>
      </c>
      <c r="CN77" t="s">
        <v>771</v>
      </c>
      <c r="CO77" s="1">
        <f t="shared" si="133"/>
        <v>0</v>
      </c>
      <c r="CV77" t="s">
        <v>772</v>
      </c>
      <c r="CW77" s="1">
        <f>COUNTIF($CV$12:$CV$71,$CV77)</f>
        <v>0</v>
      </c>
      <c r="DI77" t="s">
        <v>822</v>
      </c>
      <c r="DJ77" s="1">
        <f t="shared" si="131"/>
        <v>0</v>
      </c>
      <c r="DK77" t="s">
        <v>823</v>
      </c>
      <c r="DL77" s="1">
        <f t="shared" si="136"/>
        <v>0</v>
      </c>
      <c r="DM77" t="s">
        <v>824</v>
      </c>
      <c r="DN77" s="1">
        <f t="shared" si="134"/>
        <v>0</v>
      </c>
      <c r="DP77" t="s">
        <v>825</v>
      </c>
      <c r="DQ77" s="1">
        <f>COUNTIF($DP$12:$DP$71,$DP77)</f>
        <v>0</v>
      </c>
      <c r="DR77" t="s">
        <v>826</v>
      </c>
      <c r="DS77" s="1">
        <f t="shared" si="135"/>
        <v>0</v>
      </c>
      <c r="DZ77" t="s">
        <v>827</v>
      </c>
      <c r="EA77" s="1">
        <f>COUNTIF($DZ$12:$DZ$71,$DZ77)</f>
        <v>0</v>
      </c>
    </row>
    <row r="78" spans="1:161" ht="18.75" customHeight="1" x14ac:dyDescent="0.2">
      <c r="BF78" s="1" t="s">
        <v>414</v>
      </c>
      <c r="BG78" s="1" t="s">
        <v>181</v>
      </c>
      <c r="BH78" s="1" t="s">
        <v>189</v>
      </c>
      <c r="BI78" s="1" t="s">
        <v>190</v>
      </c>
      <c r="BJ78" s="1" t="s">
        <v>208</v>
      </c>
      <c r="BK78" s="1" t="s">
        <v>425</v>
      </c>
      <c r="BL78" s="1" t="s">
        <v>414</v>
      </c>
      <c r="BM78" s="1" t="s">
        <v>181</v>
      </c>
      <c r="BN78" s="1" t="s">
        <v>189</v>
      </c>
      <c r="BO78" s="1" t="s">
        <v>190</v>
      </c>
      <c r="BP78" s="1" t="s">
        <v>208</v>
      </c>
      <c r="BQ78" s="1" t="s">
        <v>425</v>
      </c>
      <c r="BS78" t="s">
        <v>419</v>
      </c>
      <c r="CG78" s="1"/>
      <c r="CI78" s="1"/>
      <c r="CK78" s="1"/>
      <c r="CM78" s="1"/>
      <c r="CO78" s="1"/>
      <c r="CW78" s="1"/>
      <c r="DI78" t="s">
        <v>786</v>
      </c>
      <c r="DJ78" s="1">
        <f t="shared" si="131"/>
        <v>0</v>
      </c>
      <c r="DK78" t="s">
        <v>788</v>
      </c>
      <c r="DL78" s="1">
        <f t="shared" si="136"/>
        <v>0</v>
      </c>
      <c r="DM78" t="s">
        <v>790</v>
      </c>
      <c r="DN78" s="1">
        <f t="shared" si="134"/>
        <v>0</v>
      </c>
    </row>
    <row r="79" spans="1:161" ht="18.75" customHeight="1" x14ac:dyDescent="0.2">
      <c r="BF79" s="1">
        <f>COUNTIF($BF$12:$BF$71,$BF78)</f>
        <v>0</v>
      </c>
      <c r="BG79" s="1">
        <f>COUNTIF($BG$12:$BG$71,$BG78)</f>
        <v>0</v>
      </c>
      <c r="BH79" s="1">
        <f>COUNTIF($BH$12:$BH$71,$BH78)</f>
        <v>0</v>
      </c>
      <c r="BI79" s="1">
        <f>COUNTIF($BI$12:$BI$71,$BI78)</f>
        <v>0</v>
      </c>
      <c r="BJ79" s="1">
        <f>COUNTIF($BJ$12:$BJ$71,$BJ78)</f>
        <v>0</v>
      </c>
      <c r="BK79" s="1">
        <f>COUNTIF($BK$12:$BK$71,$BK78)</f>
        <v>0</v>
      </c>
      <c r="BL79" s="1">
        <f>COUNTIF($BL$12:$BL$71,$BL78)</f>
        <v>0</v>
      </c>
      <c r="BM79" s="1">
        <f>COUNTIF($BM$12:$BM$71,$BM78)</f>
        <v>0</v>
      </c>
      <c r="BN79" s="1">
        <f>COUNTIF($BN$12:$BN$71,$BN78)</f>
        <v>0</v>
      </c>
      <c r="BO79" s="1">
        <f>COUNTIF($BO$12:$BO$71,$BO78)</f>
        <v>0</v>
      </c>
      <c r="BP79" s="1">
        <f>COUNTIF($BP$12:$BP$71,$BP78)</f>
        <v>0</v>
      </c>
      <c r="BQ79" s="1">
        <f>COUNTIF($BQ$12:$BQ$71,$BQ78)</f>
        <v>0</v>
      </c>
      <c r="BS79" s="1">
        <f>COUNTIF($BS$12:$BS$71,$BS78)</f>
        <v>0</v>
      </c>
      <c r="DI79" t="s">
        <v>800</v>
      </c>
      <c r="DJ79" s="1">
        <f>COUNTIF($DI$12:$DI$71,$DI79)</f>
        <v>0</v>
      </c>
      <c r="DK79" t="s">
        <v>801</v>
      </c>
      <c r="DL79" s="1">
        <f t="shared" si="136"/>
        <v>0</v>
      </c>
      <c r="DM79" t="s">
        <v>802</v>
      </c>
      <c r="DN79" s="1">
        <f t="shared" si="134"/>
        <v>0</v>
      </c>
    </row>
    <row r="80" spans="1:161" ht="18.75" customHeight="1" x14ac:dyDescent="0.2">
      <c r="BF80" s="1" t="s">
        <v>415</v>
      </c>
      <c r="BG80" s="1" t="s">
        <v>191</v>
      </c>
      <c r="BH80" s="1" t="s">
        <v>192</v>
      </c>
      <c r="BI80" s="1" t="s">
        <v>193</v>
      </c>
      <c r="BJ80" s="1" t="s">
        <v>209</v>
      </c>
      <c r="BK80" s="1" t="s">
        <v>426</v>
      </c>
      <c r="BL80" s="1" t="s">
        <v>415</v>
      </c>
      <c r="BM80" s="1" t="s">
        <v>191</v>
      </c>
      <c r="BN80" s="1" t="s">
        <v>192</v>
      </c>
      <c r="BO80" s="1" t="s">
        <v>193</v>
      </c>
      <c r="BP80" s="1" t="s">
        <v>209</v>
      </c>
      <c r="BQ80" s="1" t="s">
        <v>426</v>
      </c>
      <c r="BS80" t="s">
        <v>420</v>
      </c>
      <c r="DI80" t="s">
        <v>811</v>
      </c>
      <c r="DJ80" s="1">
        <f t="shared" si="131"/>
        <v>0</v>
      </c>
      <c r="DK80" t="s">
        <v>812</v>
      </c>
      <c r="DL80" s="1">
        <f t="shared" si="136"/>
        <v>0</v>
      </c>
      <c r="DM80" t="s">
        <v>813</v>
      </c>
      <c r="DN80" s="1">
        <f t="shared" si="134"/>
        <v>0</v>
      </c>
    </row>
    <row r="81" spans="58:119" ht="18.75" customHeight="1" x14ac:dyDescent="0.2">
      <c r="BF81" s="1">
        <f>COUNTIF($BF$12:$BF$71,$BF80)</f>
        <v>0</v>
      </c>
      <c r="BG81" s="1">
        <f>COUNTIF($BG$12:$BG$71,$BG80)</f>
        <v>0</v>
      </c>
      <c r="BH81" s="1">
        <f>COUNTIF($BH$12:$BH$71,$BH80)</f>
        <v>0</v>
      </c>
      <c r="BI81" s="1">
        <f>COUNTIF($BI$12:$BI$71,$BI80)</f>
        <v>0</v>
      </c>
      <c r="BJ81" s="1">
        <f>COUNTIF($BJ$12:$BJ$71,$BJ80)</f>
        <v>0</v>
      </c>
      <c r="BK81" s="1">
        <f>COUNTIF($BK$12:$BK$71,$BK80)</f>
        <v>0</v>
      </c>
      <c r="BL81" s="1">
        <f>COUNTIF($BL$12:$BL$71,$BL80)</f>
        <v>0</v>
      </c>
      <c r="BM81" s="1">
        <f>COUNTIF($BM$12:$BM$71,$BM80)</f>
        <v>0</v>
      </c>
      <c r="BN81" s="1">
        <f>COUNTIF($BN$12:$BN$71,$BN80)</f>
        <v>0</v>
      </c>
      <c r="BO81" s="1">
        <f>COUNTIF($BO$12:$BO$71,$BO80)</f>
        <v>0</v>
      </c>
      <c r="BP81" s="1">
        <f>COUNTIF($BP$12:$BP$71,$BP80)</f>
        <v>0</v>
      </c>
      <c r="BQ81" s="1">
        <f>COUNTIF($BQ$12:$BQ$71,$BQ80)</f>
        <v>0</v>
      </c>
      <c r="BS81" s="1">
        <f>COUNTIF($BS$12:$BS$71,$BS80)</f>
        <v>0</v>
      </c>
      <c r="DI81" t="s">
        <v>829</v>
      </c>
      <c r="DJ81" s="1">
        <f t="shared" si="131"/>
        <v>0</v>
      </c>
      <c r="DK81" t="s">
        <v>830</v>
      </c>
      <c r="DL81" s="1">
        <f t="shared" si="136"/>
        <v>0</v>
      </c>
      <c r="DM81" t="s">
        <v>831</v>
      </c>
      <c r="DN81" s="1">
        <f t="shared" si="134"/>
        <v>0</v>
      </c>
    </row>
    <row r="82" spans="58:119" ht="18.75" customHeight="1" x14ac:dyDescent="0.2">
      <c r="BF82" s="1" t="s">
        <v>416</v>
      </c>
      <c r="BG82" s="1" t="s">
        <v>194</v>
      </c>
      <c r="BH82" s="1" t="s">
        <v>195</v>
      </c>
      <c r="BI82" s="1" t="s">
        <v>196</v>
      </c>
      <c r="BJ82" s="1" t="s">
        <v>210</v>
      </c>
      <c r="BK82" s="1" t="s">
        <v>427</v>
      </c>
      <c r="BL82" s="1" t="s">
        <v>416</v>
      </c>
      <c r="BM82" s="1" t="s">
        <v>194</v>
      </c>
      <c r="BN82" s="1" t="s">
        <v>195</v>
      </c>
      <c r="BO82" s="1" t="s">
        <v>196</v>
      </c>
      <c r="BP82" s="1" t="s">
        <v>210</v>
      </c>
      <c r="BQ82" s="1" t="s">
        <v>427</v>
      </c>
      <c r="BS82" t="s">
        <v>340</v>
      </c>
    </row>
    <row r="83" spans="58:119" ht="18.75" customHeight="1" x14ac:dyDescent="0.2">
      <c r="BF83" s="1">
        <f>COUNTIF($BF$12:$BF$71,$BF82)</f>
        <v>0</v>
      </c>
      <c r="BG83" s="1">
        <f>COUNTIF($BG$12:$BG$71,$BG82)</f>
        <v>0</v>
      </c>
      <c r="BH83" s="1">
        <f>COUNTIF($BH$12:$BH$71,$BH82)</f>
        <v>0</v>
      </c>
      <c r="BI83" s="1">
        <f>COUNTIF($BI$12:$BI$71,$BI82)</f>
        <v>0</v>
      </c>
      <c r="BJ83" s="1">
        <f>COUNTIF($BJ$12:$BJ$71,$BJ82)</f>
        <v>0</v>
      </c>
      <c r="BK83" s="1">
        <f>COUNTIF($BK$12:$BK$71,$BK82)</f>
        <v>0</v>
      </c>
      <c r="BL83" s="1">
        <f>COUNTIF($BL$12:$BL$71,$BL82)</f>
        <v>0</v>
      </c>
      <c r="BM83" s="1">
        <f>COUNTIF($BM$12:$BM$71,$BM82)</f>
        <v>0</v>
      </c>
      <c r="BN83" s="1">
        <f>COUNTIF($BN$12:$BN$71,$BN82)</f>
        <v>0</v>
      </c>
      <c r="BO83" s="1">
        <f>COUNTIF($BO$12:$BO$71,$BO82)</f>
        <v>0</v>
      </c>
      <c r="BP83" s="1">
        <f>COUNTIF($BP$12:$BP$71,$BP82)</f>
        <v>0</v>
      </c>
      <c r="BQ83" s="1">
        <f>COUNTIF($BQ$12:$BQ$71,$BQ82)</f>
        <v>0</v>
      </c>
      <c r="BS83" s="1">
        <f>COUNTIF($BS$12:$BS$71,$BS82)</f>
        <v>0</v>
      </c>
      <c r="BT83" s="1"/>
      <c r="BU83" s="1"/>
      <c r="BV83" s="1"/>
      <c r="BW83" s="1"/>
      <c r="CC83" s="1"/>
      <c r="CE83" s="139"/>
      <c r="DH83" s="139"/>
      <c r="DO83" s="139"/>
    </row>
    <row r="84" spans="58:119" ht="18.75" customHeight="1" x14ac:dyDescent="0.2">
      <c r="BS84" t="s">
        <v>580</v>
      </c>
      <c r="CE84" s="139"/>
      <c r="DH84" s="139"/>
      <c r="DO84" s="139"/>
    </row>
    <row r="85" spans="58:119" ht="18.75" customHeight="1" x14ac:dyDescent="0.2">
      <c r="BS85" s="1">
        <f>COUNTIF($BS$12:$BS$71,$BS84)</f>
        <v>0</v>
      </c>
      <c r="CE85" s="139"/>
      <c r="DH85" s="139"/>
      <c r="DO85" s="139"/>
    </row>
    <row r="86" spans="58:119" ht="18.75" customHeight="1" x14ac:dyDescent="0.2">
      <c r="BS86" t="s">
        <v>581</v>
      </c>
      <c r="BT86" t="s">
        <v>582</v>
      </c>
      <c r="BU86" t="s">
        <v>583</v>
      </c>
      <c r="BV86" t="s">
        <v>584</v>
      </c>
      <c r="BW86" t="s">
        <v>585</v>
      </c>
      <c r="CC86" t="s">
        <v>463</v>
      </c>
      <c r="CE86" s="139"/>
      <c r="DH86" s="139"/>
      <c r="DO86" s="139"/>
    </row>
    <row r="87" spans="58:119" ht="18.75" customHeight="1" x14ac:dyDescent="0.2">
      <c r="BS87" s="1">
        <f>COUNTIF($BS$12:$BS$71,$BS86)</f>
        <v>0</v>
      </c>
      <c r="BT87" s="1">
        <f>COUNTIF($BT$12:$BT$71,$BT86)</f>
        <v>0</v>
      </c>
      <c r="BU87" s="1">
        <f>COUNTIF($BU$12:$BU$71,$BU86)</f>
        <v>0</v>
      </c>
      <c r="BV87" s="1">
        <f>COUNTIF($BV$12:$BV$71,$BV86)</f>
        <v>0</v>
      </c>
      <c r="BW87" s="1">
        <f>COUNTIF($BW$12:$BW$71,$BW86)</f>
        <v>0</v>
      </c>
      <c r="CC87" s="1">
        <f>COUNTIF($CC$12:$CC$71,$CC86)</f>
        <v>0</v>
      </c>
      <c r="CE87" s="139"/>
      <c r="DH87" s="139"/>
      <c r="DO87" s="139"/>
    </row>
    <row r="88" spans="58:119" ht="18.75" customHeight="1" x14ac:dyDescent="0.2">
      <c r="BS88" t="s">
        <v>341</v>
      </c>
      <c r="BT88" t="s">
        <v>353</v>
      </c>
      <c r="BU88" t="s">
        <v>365</v>
      </c>
      <c r="BV88" t="s">
        <v>385</v>
      </c>
      <c r="BW88" t="s">
        <v>397</v>
      </c>
      <c r="CC88" t="s">
        <v>373</v>
      </c>
      <c r="CE88" s="139"/>
      <c r="DH88" s="139"/>
      <c r="DO88" s="139"/>
    </row>
    <row r="89" spans="58:119" ht="18.75" customHeight="1" x14ac:dyDescent="0.2">
      <c r="BS89" s="1">
        <f>COUNTIF($BS$12:$BS$71,$BS88)</f>
        <v>0</v>
      </c>
      <c r="BT89" s="1">
        <f>COUNTIF($BT$12:$BT$71,$BT88)</f>
        <v>0</v>
      </c>
      <c r="BU89" s="1">
        <f>COUNTIF($BU$12:$BU$71,$BU88)</f>
        <v>0</v>
      </c>
      <c r="BV89" s="1">
        <f>COUNTIF($BV$12:$BV$71,$BV88)</f>
        <v>0</v>
      </c>
      <c r="BW89" s="1">
        <f>COUNTIF($BW$12:$BW$71,$BW88)</f>
        <v>0</v>
      </c>
      <c r="CC89" s="1">
        <f>COUNTIF($CC$12:$CC$71,$CC88)</f>
        <v>0</v>
      </c>
      <c r="CE89" s="139"/>
      <c r="DH89" s="139"/>
      <c r="DO89" s="139"/>
    </row>
    <row r="90" spans="58:119" ht="18.75" customHeight="1" x14ac:dyDescent="0.2">
      <c r="BS90" t="s">
        <v>342</v>
      </c>
      <c r="BT90" t="s">
        <v>356</v>
      </c>
      <c r="BU90" t="s">
        <v>367</v>
      </c>
      <c r="BV90" t="s">
        <v>388</v>
      </c>
      <c r="BW90" t="s">
        <v>400</v>
      </c>
      <c r="CC90" t="s">
        <v>376</v>
      </c>
      <c r="CE90" s="139"/>
      <c r="DH90" s="139"/>
      <c r="DO90" s="139"/>
    </row>
    <row r="91" spans="58:119" ht="18.75" customHeight="1" x14ac:dyDescent="0.2">
      <c r="BS91" s="1">
        <f>COUNTIF($BS$12:$BS$71,$BS90)</f>
        <v>0</v>
      </c>
      <c r="BT91" s="1">
        <f>COUNTIF($BT$12:$BT$71,$BT90)</f>
        <v>0</v>
      </c>
      <c r="BU91" s="1">
        <f>COUNTIF($BU$12:$BU$71,$BU90)</f>
        <v>0</v>
      </c>
      <c r="BV91" s="1">
        <f>COUNTIF($BV$12:$BV$71,$BV90)</f>
        <v>0</v>
      </c>
      <c r="BW91" s="1">
        <f>COUNTIF($BW$12:$BW$71,$BW90)</f>
        <v>0</v>
      </c>
      <c r="CC91" s="1">
        <f>COUNTIF($CC$12:$CC$71,$CC90)</f>
        <v>0</v>
      </c>
      <c r="CE91" s="139"/>
      <c r="DH91" s="139"/>
      <c r="DO91" s="139"/>
    </row>
    <row r="92" spans="58:119" ht="18.75" customHeight="1" x14ac:dyDescent="0.2">
      <c r="BS92" t="s">
        <v>343</v>
      </c>
      <c r="BT92" t="s">
        <v>359</v>
      </c>
      <c r="BU92" t="s">
        <v>369</v>
      </c>
      <c r="BV92" t="s">
        <v>391</v>
      </c>
      <c r="BW92" t="s">
        <v>403</v>
      </c>
      <c r="CC92" t="s">
        <v>379</v>
      </c>
    </row>
    <row r="93" spans="58:119" ht="18.75" customHeight="1" x14ac:dyDescent="0.2">
      <c r="BS93" s="1">
        <f>COUNTIF($BS$12:$BS$71,$BS92)</f>
        <v>0</v>
      </c>
      <c r="BT93" s="1">
        <f>COUNTIF($BT$12:$BT$71,$BT92)</f>
        <v>0</v>
      </c>
      <c r="BU93" s="1">
        <f>COUNTIF($BU$12:$BU$71,$BU92)</f>
        <v>0</v>
      </c>
      <c r="BV93" s="1">
        <f>COUNTIF($BV$12:$BV$71,$BV92)</f>
        <v>0</v>
      </c>
      <c r="BW93" s="1">
        <f>COUNTIF($BW$12:$BW$71,$BW92)</f>
        <v>0</v>
      </c>
      <c r="CC93" s="1">
        <f>COUNTIF($CC$12:$CC$71,$CC92)</f>
        <v>0</v>
      </c>
    </row>
    <row r="94" spans="58:119" ht="18.75" customHeight="1" x14ac:dyDescent="0.2">
      <c r="BS94" t="s">
        <v>344</v>
      </c>
      <c r="BT94" t="s">
        <v>362</v>
      </c>
      <c r="BU94" t="s">
        <v>371</v>
      </c>
      <c r="BV94" t="s">
        <v>394</v>
      </c>
      <c r="BW94" t="s">
        <v>406</v>
      </c>
      <c r="CC94" t="s">
        <v>382</v>
      </c>
    </row>
    <row r="95" spans="58:119" ht="18.75" customHeight="1" x14ac:dyDescent="0.2">
      <c r="BS95" s="1">
        <f>COUNTIF($BS$12:$BS$71,$BS94)</f>
        <v>0</v>
      </c>
      <c r="BT95" s="1">
        <f>COUNTIF($BT$12:$BT$71,$BT94)</f>
        <v>0</v>
      </c>
      <c r="BU95" s="1">
        <f>COUNTIF($BU$12:$BU$71,$BU94)</f>
        <v>0</v>
      </c>
      <c r="BV95" s="1">
        <f>COUNTIF($BV$12:$BV$71,$BV94)</f>
        <v>0</v>
      </c>
      <c r="BW95" s="1">
        <f>COUNTIF($BW$12:$BW$71,$BW94)</f>
        <v>0</v>
      </c>
      <c r="CC95" s="1">
        <f>COUNTIF($CC$12:$CC$71,$CC94)</f>
        <v>0</v>
      </c>
    </row>
    <row r="96" spans="58:119" ht="18.75" customHeight="1" x14ac:dyDescent="0.2">
      <c r="BS96" t="s">
        <v>586</v>
      </c>
    </row>
    <row r="97" spans="71:81" ht="18.75" customHeight="1" x14ac:dyDescent="0.2">
      <c r="BS97" s="1">
        <f>COUNTIF($BS$12:$BS$71,$BS96)</f>
        <v>0</v>
      </c>
    </row>
    <row r="98" spans="71:81" ht="18.75" customHeight="1" x14ac:dyDescent="0.2">
      <c r="BS98" t="s">
        <v>587</v>
      </c>
      <c r="BT98" t="s">
        <v>588</v>
      </c>
      <c r="BV98" t="s">
        <v>589</v>
      </c>
      <c r="BW98" t="s">
        <v>590</v>
      </c>
      <c r="CC98" t="s">
        <v>464</v>
      </c>
    </row>
    <row r="99" spans="71:81" ht="18.75" customHeight="1" x14ac:dyDescent="0.2">
      <c r="BS99" s="1">
        <f>COUNTIF($BS$12:$BS$71,$BS98)</f>
        <v>0</v>
      </c>
      <c r="BT99" s="1">
        <f>COUNTIF($BT$12:$BT$71,$BT98)</f>
        <v>0</v>
      </c>
      <c r="BV99" s="1">
        <f>COUNTIF($BV$12:$BV$71,$BV98)</f>
        <v>0</v>
      </c>
      <c r="BW99" s="1">
        <f>COUNTIF($BW$12:$BW$71,$BW98)</f>
        <v>0</v>
      </c>
      <c r="CC99" s="1">
        <f>COUNTIF($CC$12:$CC$71,$CC98)</f>
        <v>0</v>
      </c>
    </row>
    <row r="100" spans="71:81" ht="18.75" customHeight="1" x14ac:dyDescent="0.2">
      <c r="BS100" t="s">
        <v>345</v>
      </c>
      <c r="BT100" t="s">
        <v>354</v>
      </c>
      <c r="BV100" t="s">
        <v>386</v>
      </c>
      <c r="BW100" t="s">
        <v>398</v>
      </c>
      <c r="CC100" t="s">
        <v>374</v>
      </c>
    </row>
    <row r="101" spans="71:81" ht="18.75" customHeight="1" x14ac:dyDescent="0.2">
      <c r="BS101" s="1">
        <f>COUNTIF($BS$12:$BS$71,$BS100)</f>
        <v>0</v>
      </c>
      <c r="BT101" s="1">
        <f>COUNTIF($BT$12:$BT$71,$BT100)</f>
        <v>0</v>
      </c>
      <c r="BV101" s="1">
        <f>COUNTIF($BV$12:$BV$71,$BV100)</f>
        <v>0</v>
      </c>
      <c r="BW101" s="1">
        <f>COUNTIF($BW$12:$BW$71,$BW100)</f>
        <v>0</v>
      </c>
      <c r="CC101" s="1">
        <f>COUNTIF($CC$12:$CC$71,$CC100)</f>
        <v>0</v>
      </c>
    </row>
    <row r="102" spans="71:81" ht="18.75" customHeight="1" x14ac:dyDescent="0.2">
      <c r="BS102" t="s">
        <v>346</v>
      </c>
      <c r="BT102" t="s">
        <v>357</v>
      </c>
      <c r="BV102" t="s">
        <v>389</v>
      </c>
      <c r="BW102" t="s">
        <v>401</v>
      </c>
      <c r="CC102" t="s">
        <v>377</v>
      </c>
    </row>
    <row r="103" spans="71:81" ht="18.75" customHeight="1" x14ac:dyDescent="0.2">
      <c r="BS103" s="1">
        <f>COUNTIF($BS$12:$BS$71,$BS102)</f>
        <v>0</v>
      </c>
      <c r="BT103" s="1">
        <f>COUNTIF($BT$12:$BT$71,$BT102)</f>
        <v>0</v>
      </c>
      <c r="BV103" s="1">
        <f>COUNTIF($BV$12:$BV$71,$BV102)</f>
        <v>0</v>
      </c>
      <c r="BW103" s="1">
        <f>COUNTIF($BW$12:$BW$71,$BW102)</f>
        <v>0</v>
      </c>
      <c r="CC103" s="1">
        <f>COUNTIF($CC$12:$CC$71,$CC102)</f>
        <v>0</v>
      </c>
    </row>
    <row r="104" spans="71:81" ht="18.75" customHeight="1" x14ac:dyDescent="0.2">
      <c r="BS104" t="s">
        <v>347</v>
      </c>
      <c r="BT104" t="s">
        <v>360</v>
      </c>
      <c r="BV104" t="s">
        <v>392</v>
      </c>
      <c r="BW104" t="s">
        <v>404</v>
      </c>
      <c r="CC104" t="s">
        <v>380</v>
      </c>
    </row>
    <row r="105" spans="71:81" ht="18.75" customHeight="1" x14ac:dyDescent="0.2">
      <c r="BS105" s="1">
        <f>COUNTIF($BS$12:$BS$71,$BS104)</f>
        <v>0</v>
      </c>
      <c r="BT105" s="1">
        <f>COUNTIF($BT$12:$BT$71,$BT104)</f>
        <v>0</v>
      </c>
      <c r="BV105" s="1">
        <f>COUNTIF($BV$12:$BV$71,$BV104)</f>
        <v>0</v>
      </c>
      <c r="BW105" s="1">
        <f>COUNTIF($BW$12:$BW$71,$BW104)</f>
        <v>0</v>
      </c>
      <c r="CC105" s="1">
        <f>COUNTIF($CC$12:$CC$71,$CC104)</f>
        <v>0</v>
      </c>
    </row>
    <row r="106" spans="71:81" ht="18.75" customHeight="1" x14ac:dyDescent="0.2">
      <c r="BS106" t="s">
        <v>348</v>
      </c>
      <c r="BT106" t="s">
        <v>363</v>
      </c>
      <c r="BV106" t="s">
        <v>395</v>
      </c>
      <c r="BW106" t="s">
        <v>407</v>
      </c>
      <c r="CC106" t="s">
        <v>383</v>
      </c>
    </row>
    <row r="107" spans="71:81" ht="18.75" customHeight="1" x14ac:dyDescent="0.2">
      <c r="BS107" s="1">
        <f>COUNTIF($BS$12:$BS$71,$BS106)</f>
        <v>0</v>
      </c>
      <c r="BT107" s="1">
        <f>COUNTIF($BT$12:$BT$71,$BT106)</f>
        <v>0</v>
      </c>
      <c r="BV107" s="1">
        <f>COUNTIF($BV$12:$BV$71,$BV106)</f>
        <v>0</v>
      </c>
      <c r="BW107" s="1">
        <f>COUNTIF($BW$12:$BW$71,$BW106)</f>
        <v>0</v>
      </c>
      <c r="CC107" s="1">
        <f>COUNTIF($CC$12:$CC$71,$CC106)</f>
        <v>0</v>
      </c>
    </row>
    <row r="108" spans="71:81" ht="18.75" customHeight="1" x14ac:dyDescent="0.2">
      <c r="BS108" t="s">
        <v>591</v>
      </c>
    </row>
    <row r="109" spans="71:81" ht="18.75" customHeight="1" x14ac:dyDescent="0.2">
      <c r="BS109" s="1">
        <f>COUNTIF($BS$12:$BS$71,$BS108)</f>
        <v>0</v>
      </c>
    </row>
    <row r="110" spans="71:81" ht="18.75" customHeight="1" x14ac:dyDescent="0.2">
      <c r="BS110" t="s">
        <v>592</v>
      </c>
      <c r="BT110" t="s">
        <v>593</v>
      </c>
      <c r="BU110" t="s">
        <v>594</v>
      </c>
      <c r="BV110" t="s">
        <v>595</v>
      </c>
      <c r="BW110" t="s">
        <v>596</v>
      </c>
      <c r="CC110" t="s">
        <v>465</v>
      </c>
    </row>
    <row r="111" spans="71:81" ht="18.75" customHeight="1" x14ac:dyDescent="0.2">
      <c r="BS111" s="1">
        <f>COUNTIF($BS$12:$BS$71,$BS110)</f>
        <v>0</v>
      </c>
      <c r="BT111" s="1">
        <f>COUNTIF($BT$12:$BT$71,$BT110)</f>
        <v>0</v>
      </c>
      <c r="BU111" s="1">
        <f>COUNTIF($BU$12:$BU$71,$BU110)</f>
        <v>0</v>
      </c>
      <c r="BV111" s="1">
        <f>COUNTIF($BV$12:$BV$71,$BV110)</f>
        <v>0</v>
      </c>
      <c r="BW111" s="1">
        <f>COUNTIF($BW$12:$BW$71,$BW110)</f>
        <v>0</v>
      </c>
      <c r="CC111" s="1">
        <f>COUNTIF($CC$12:$CC$71,$CC110)</f>
        <v>0</v>
      </c>
    </row>
    <row r="112" spans="71:81" ht="18.75" customHeight="1" x14ac:dyDescent="0.2">
      <c r="BS112" t="s">
        <v>349</v>
      </c>
      <c r="BT112" t="s">
        <v>355</v>
      </c>
      <c r="BU112" t="s">
        <v>366</v>
      </c>
      <c r="BV112" t="s">
        <v>387</v>
      </c>
      <c r="BW112" t="s">
        <v>399</v>
      </c>
      <c r="CC112" t="s">
        <v>375</v>
      </c>
    </row>
    <row r="113" spans="71:81" ht="18.75" customHeight="1" x14ac:dyDescent="0.2">
      <c r="BS113" s="1">
        <f>COUNTIF($BS$12:$BS$71,$BS112)</f>
        <v>0</v>
      </c>
      <c r="BT113" s="1">
        <f>COUNTIF($BT$12:$BT$71,$BT112)</f>
        <v>0</v>
      </c>
      <c r="BU113" s="1">
        <f>COUNTIF($BU$12:$BU$71,$BU112)</f>
        <v>0</v>
      </c>
      <c r="BV113" s="1">
        <f>COUNTIF($BV$12:$BV$71,$BV112)</f>
        <v>0</v>
      </c>
      <c r="BW113" s="1">
        <f>COUNTIF($BW$12:$BW$71,$BW112)</f>
        <v>0</v>
      </c>
      <c r="CC113" s="1">
        <f>COUNTIF($CC$12:$CC$71,$CC112)</f>
        <v>0</v>
      </c>
    </row>
    <row r="114" spans="71:81" ht="18.75" customHeight="1" x14ac:dyDescent="0.2">
      <c r="BS114" t="s">
        <v>350</v>
      </c>
      <c r="BT114" t="s">
        <v>358</v>
      </c>
      <c r="BU114" t="s">
        <v>368</v>
      </c>
      <c r="BV114" t="s">
        <v>390</v>
      </c>
      <c r="BW114" t="s">
        <v>402</v>
      </c>
      <c r="CC114" t="s">
        <v>378</v>
      </c>
    </row>
    <row r="115" spans="71:81" ht="18.75" customHeight="1" x14ac:dyDescent="0.2">
      <c r="BS115" s="1">
        <f>COUNTIF($BS$12:$BS$71,$BS114)</f>
        <v>0</v>
      </c>
      <c r="BT115" s="1">
        <f>COUNTIF($BT$12:$BT$71,$BT114)</f>
        <v>0</v>
      </c>
      <c r="BU115" s="1">
        <f>COUNTIF($BU$12:$BU$71,$BU114)</f>
        <v>0</v>
      </c>
      <c r="BV115" s="1">
        <f>COUNTIF($BV$12:$BV$71,$BV114)</f>
        <v>0</v>
      </c>
      <c r="BW115" s="1">
        <f>COUNTIF($BW$12:$BW$71,$BW114)</f>
        <v>0</v>
      </c>
      <c r="CC115" s="1">
        <f>COUNTIF($CC$12:$CC$71,$CC114)</f>
        <v>0</v>
      </c>
    </row>
    <row r="116" spans="71:81" ht="18.75" customHeight="1" x14ac:dyDescent="0.2">
      <c r="BS116" t="s">
        <v>351</v>
      </c>
      <c r="BT116" t="s">
        <v>361</v>
      </c>
      <c r="BU116" t="s">
        <v>370</v>
      </c>
      <c r="BV116" t="s">
        <v>393</v>
      </c>
      <c r="BW116" t="s">
        <v>405</v>
      </c>
      <c r="CC116" t="s">
        <v>381</v>
      </c>
    </row>
    <row r="117" spans="71:81" ht="18.75" customHeight="1" x14ac:dyDescent="0.2">
      <c r="BS117" s="1">
        <f>COUNTIF($BS$12:$BS$71,$BS116)</f>
        <v>0</v>
      </c>
      <c r="BT117" s="1">
        <f>COUNTIF($BT$12:$BT$71,$BT116)</f>
        <v>0</v>
      </c>
      <c r="BU117" s="1">
        <f>COUNTIF($BU$12:$BU$71,$BU116)</f>
        <v>0</v>
      </c>
      <c r="BV117" s="1">
        <f>COUNTIF($BV$12:$BV$71,$BV116)</f>
        <v>0</v>
      </c>
      <c r="BW117" s="1">
        <f>COUNTIF($BW$12:$BW$71,$BW116)</f>
        <v>0</v>
      </c>
      <c r="CC117" s="1">
        <f>COUNTIF($CC$12:$CC$71,$CC116)</f>
        <v>0</v>
      </c>
    </row>
    <row r="118" spans="71:81" ht="18.75" customHeight="1" x14ac:dyDescent="0.2">
      <c r="BS118" t="s">
        <v>352</v>
      </c>
      <c r="BT118" t="s">
        <v>364</v>
      </c>
      <c r="BU118" t="s">
        <v>372</v>
      </c>
      <c r="BV118" t="s">
        <v>396</v>
      </c>
      <c r="BW118" t="s">
        <v>408</v>
      </c>
      <c r="CC118" t="s">
        <v>384</v>
      </c>
    </row>
    <row r="119" spans="71:81" ht="18.75" customHeight="1" x14ac:dyDescent="0.2">
      <c r="BS119" s="1">
        <f>COUNTIF($BS$12:$BS$71,$BS118)</f>
        <v>0</v>
      </c>
      <c r="BT119" s="1">
        <f>COUNTIF($BT$12:$BT$71,$BT118)</f>
        <v>0</v>
      </c>
      <c r="BU119" s="1">
        <f>COUNTIF($BU$12:$BU$71,$BU118)</f>
        <v>0</v>
      </c>
      <c r="BV119" s="1">
        <f>COUNTIF($BV$12:$BV$71,$BV118)</f>
        <v>0</v>
      </c>
      <c r="BW119" s="1">
        <f>COUNTIF($BW$12:$BW$71,$BW118)</f>
        <v>0</v>
      </c>
      <c r="CC119" s="1">
        <f>COUNTIF($CC$12:$CC$71,$CC118)</f>
        <v>0</v>
      </c>
    </row>
  </sheetData>
  <sheetProtection algorithmName="SHA-512" hashValue="9YTkI2911XwltW4YdnPBmdA3/CvyU1KpiqMGJwBdSej2usl3rO2uv+Lgk3QAXaIiEac3xH46AL2cTrbP29+OMg==" saltValue="nM1e1t+apzXY31tZq7zg7A==" spinCount="100000" sheet="1" selectLockedCells="1"/>
  <mergeCells count="321">
    <mergeCell ref="J1:M1"/>
    <mergeCell ref="AB1:AH1"/>
    <mergeCell ref="J2:M2"/>
    <mergeCell ref="Y2:AO3"/>
    <mergeCell ref="Y10:Y11"/>
    <mergeCell ref="R1:X1"/>
    <mergeCell ref="U10:U11"/>
    <mergeCell ref="V10:V11"/>
    <mergeCell ref="AN10:AO10"/>
    <mergeCell ref="W4:X4"/>
    <mergeCell ref="Q3:Q4"/>
    <mergeCell ref="Q10:Q11"/>
    <mergeCell ref="Z10:AA11"/>
    <mergeCell ref="AB10:AC11"/>
    <mergeCell ref="AD10:AE11"/>
    <mergeCell ref="AF10:AG11"/>
    <mergeCell ref="P10:P11"/>
    <mergeCell ref="R2:X3"/>
    <mergeCell ref="P3:P4"/>
    <mergeCell ref="AJ4:AK4"/>
    <mergeCell ref="DC68:DC69"/>
    <mergeCell ref="DF68:DF69"/>
    <mergeCell ref="DC70:DC71"/>
    <mergeCell ref="DF70:DF71"/>
    <mergeCell ref="DC60:DC61"/>
    <mergeCell ref="DF60:DF61"/>
    <mergeCell ref="DC62:DC63"/>
    <mergeCell ref="DF62:DF63"/>
    <mergeCell ref="DC64:DC65"/>
    <mergeCell ref="DF64:DF65"/>
    <mergeCell ref="ER10:EV10"/>
    <mergeCell ref="DC66:DC67"/>
    <mergeCell ref="DF66:DF67"/>
    <mergeCell ref="DC54:DC55"/>
    <mergeCell ref="DF54:DF55"/>
    <mergeCell ref="DC56:DC57"/>
    <mergeCell ref="DF56:DF57"/>
    <mergeCell ref="DC58:DC59"/>
    <mergeCell ref="DF58:DF59"/>
    <mergeCell ref="DC48:DC49"/>
    <mergeCell ref="DF48:DF49"/>
    <mergeCell ref="DC50:DC51"/>
    <mergeCell ref="DF50:DF51"/>
    <mergeCell ref="DC52:DC53"/>
    <mergeCell ref="CZ10:DF10"/>
    <mergeCell ref="DC12:DC13"/>
    <mergeCell ref="DF12:DF13"/>
    <mergeCell ref="DC30:DC31"/>
    <mergeCell ref="DF30:DF31"/>
    <mergeCell ref="DC32:DC33"/>
    <mergeCell ref="DF32:DF33"/>
    <mergeCell ref="DC34:DC35"/>
    <mergeCell ref="DF34:DF35"/>
    <mergeCell ref="DC24:DC25"/>
    <mergeCell ref="DZ30:DZ31"/>
    <mergeCell ref="DW32:DW33"/>
    <mergeCell ref="DZ32:DZ33"/>
    <mergeCell ref="DW34:DW35"/>
    <mergeCell ref="DZ34:DZ35"/>
    <mergeCell ref="DF44:DF45"/>
    <mergeCell ref="DW60:DW61"/>
    <mergeCell ref="DZ60:DZ61"/>
    <mergeCell ref="DW54:DW55"/>
    <mergeCell ref="DW56:DW57"/>
    <mergeCell ref="DZ56:DZ57"/>
    <mergeCell ref="DW38:DW39"/>
    <mergeCell ref="DZ38:DZ39"/>
    <mergeCell ref="DW40:DW41"/>
    <mergeCell ref="DZ40:DZ41"/>
    <mergeCell ref="DW42:DW43"/>
    <mergeCell ref="DZ42:DZ43"/>
    <mergeCell ref="DW44:DW45"/>
    <mergeCell ref="DZ44:DZ45"/>
    <mergeCell ref="DW46:DW47"/>
    <mergeCell ref="DZ46:DZ47"/>
    <mergeCell ref="DF52:DF53"/>
    <mergeCell ref="DF46:DF47"/>
    <mergeCell ref="DF36:DF37"/>
    <mergeCell ref="DC42:DC43"/>
    <mergeCell ref="DF42:DF43"/>
    <mergeCell ref="DC44:DC45"/>
    <mergeCell ref="DW36:DW37"/>
    <mergeCell ref="DZ36:DZ37"/>
    <mergeCell ref="DZ54:DZ55"/>
    <mergeCell ref="DW52:DW53"/>
    <mergeCell ref="DZ52:DZ53"/>
    <mergeCell ref="DW48:DW49"/>
    <mergeCell ref="DZ48:DZ49"/>
    <mergeCell ref="DW50:DW51"/>
    <mergeCell ref="DZ50:DZ51"/>
    <mergeCell ref="DC46:DC47"/>
    <mergeCell ref="DC36:DC37"/>
    <mergeCell ref="DC38:DC39"/>
    <mergeCell ref="DF38:DF39"/>
    <mergeCell ref="DC40:DC41"/>
    <mergeCell ref="DF40:DF41"/>
    <mergeCell ref="DW68:DW69"/>
    <mergeCell ref="DZ68:DZ69"/>
    <mergeCell ref="DW70:DW71"/>
    <mergeCell ref="DZ70:DZ71"/>
    <mergeCell ref="DW58:DW59"/>
    <mergeCell ref="DZ58:DZ59"/>
    <mergeCell ref="DW64:DW65"/>
    <mergeCell ref="DZ64:DZ65"/>
    <mergeCell ref="DW66:DW67"/>
    <mergeCell ref="DZ66:DZ67"/>
    <mergeCell ref="DW62:DW63"/>
    <mergeCell ref="DZ62:DZ63"/>
    <mergeCell ref="DZ16:DZ17"/>
    <mergeCell ref="DW18:DW19"/>
    <mergeCell ref="DZ18:DZ19"/>
    <mergeCell ref="DW20:DW21"/>
    <mergeCell ref="DZ20:DZ21"/>
    <mergeCell ref="DW22:DW23"/>
    <mergeCell ref="DZ22:DZ23"/>
    <mergeCell ref="DW24:DW25"/>
    <mergeCell ref="DZ24:DZ25"/>
    <mergeCell ref="DF20:DF21"/>
    <mergeCell ref="DC22:DC23"/>
    <mergeCell ref="DF22:DF23"/>
    <mergeCell ref="DC26:DC27"/>
    <mergeCell ref="DF26:DF27"/>
    <mergeCell ref="DC14:DC15"/>
    <mergeCell ref="DF14:DF15"/>
    <mergeCell ref="DC28:DC29"/>
    <mergeCell ref="DF28:DF29"/>
    <mergeCell ref="DF24:DF25"/>
    <mergeCell ref="DC16:DC17"/>
    <mergeCell ref="DF16:DF17"/>
    <mergeCell ref="DC18:DC19"/>
    <mergeCell ref="AP3:AQ3"/>
    <mergeCell ref="BS9:CC9"/>
    <mergeCell ref="CV14:CV15"/>
    <mergeCell ref="CV18:CV19"/>
    <mergeCell ref="CS16:CS17"/>
    <mergeCell ref="CV16:CV17"/>
    <mergeCell ref="CC14:CC15"/>
    <mergeCell ref="CC16:CC17"/>
    <mergeCell ref="CS20:CS21"/>
    <mergeCell ref="CV20:CV21"/>
    <mergeCell ref="CS18:CS19"/>
    <mergeCell ref="CC18:CC19"/>
    <mergeCell ref="CC20:CC21"/>
    <mergeCell ref="BZ14:BZ15"/>
    <mergeCell ref="CJ10:CK10"/>
    <mergeCell ref="CH10:CI10"/>
    <mergeCell ref="AS4:AT4"/>
    <mergeCell ref="AU2:AW3"/>
    <mergeCell ref="BF9:BK9"/>
    <mergeCell ref="AR2:AT3"/>
    <mergeCell ref="CC40:CC41"/>
    <mergeCell ref="CC42:CC43"/>
    <mergeCell ref="B2:D2"/>
    <mergeCell ref="E2:G2"/>
    <mergeCell ref="H10:H11"/>
    <mergeCell ref="CF10:CG10"/>
    <mergeCell ref="BX10:CC10"/>
    <mergeCell ref="R10:R11"/>
    <mergeCell ref="S10:S11"/>
    <mergeCell ref="T10:T11"/>
    <mergeCell ref="W10:X11"/>
    <mergeCell ref="B3:B4"/>
    <mergeCell ref="D3:D4"/>
    <mergeCell ref="E3:E4"/>
    <mergeCell ref="F3:F4"/>
    <mergeCell ref="G3:G4"/>
    <mergeCell ref="AZ10:BA10"/>
    <mergeCell ref="J3:M3"/>
    <mergeCell ref="AN4:AO4"/>
    <mergeCell ref="N3:O3"/>
    <mergeCell ref="C3:C4"/>
    <mergeCell ref="H3:H4"/>
    <mergeCell ref="I2:I4"/>
    <mergeCell ref="BU10:BU11"/>
    <mergeCell ref="BZ46:BZ47"/>
    <mergeCell ref="BZ38:BZ39"/>
    <mergeCell ref="BZ40:BZ41"/>
    <mergeCell ref="BZ50:BZ51"/>
    <mergeCell ref="BZ32:BZ33"/>
    <mergeCell ref="BZ34:BZ35"/>
    <mergeCell ref="BZ42:BZ43"/>
    <mergeCell ref="BZ44:BZ45"/>
    <mergeCell ref="BZ48:BZ49"/>
    <mergeCell ref="DT10:DZ10"/>
    <mergeCell ref="CC22:CC23"/>
    <mergeCell ref="CL10:CM10"/>
    <mergeCell ref="CP10:CV10"/>
    <mergeCell ref="CS22:CS23"/>
    <mergeCell ref="CV22:CV23"/>
    <mergeCell ref="CN10:CO10"/>
    <mergeCell ref="CS14:CS15"/>
    <mergeCell ref="CC38:CC39"/>
    <mergeCell ref="DG10:DG11"/>
    <mergeCell ref="DW12:DW13"/>
    <mergeCell ref="DZ12:DZ13"/>
    <mergeCell ref="DW14:DW15"/>
    <mergeCell ref="DZ14:DZ15"/>
    <mergeCell ref="DW16:DW17"/>
    <mergeCell ref="DW26:DW27"/>
    <mergeCell ref="DZ26:DZ27"/>
    <mergeCell ref="DW28:DW29"/>
    <mergeCell ref="DZ28:DZ29"/>
    <mergeCell ref="DW30:DW31"/>
    <mergeCell ref="DR10:DS10"/>
    <mergeCell ref="DP10:DQ10"/>
    <mergeCell ref="DF18:DF19"/>
    <mergeCell ref="DC20:DC21"/>
    <mergeCell ref="CC46:CC47"/>
    <mergeCell ref="CC44:CC45"/>
    <mergeCell ref="CC48:CC49"/>
    <mergeCell ref="CC50:CC51"/>
    <mergeCell ref="CC62:CC63"/>
    <mergeCell ref="CC70:CC71"/>
    <mergeCell ref="CC52:CC53"/>
    <mergeCell ref="CC54:CC55"/>
    <mergeCell ref="CC56:CC57"/>
    <mergeCell ref="CC58:CC59"/>
    <mergeCell ref="CC60:CC61"/>
    <mergeCell ref="CC64:CC65"/>
    <mergeCell ref="CC66:CC67"/>
    <mergeCell ref="CC68:CC69"/>
    <mergeCell ref="BZ66:BZ67"/>
    <mergeCell ref="BZ68:BZ69"/>
    <mergeCell ref="BZ70:BZ71"/>
    <mergeCell ref="BZ52:BZ53"/>
    <mergeCell ref="BZ54:BZ55"/>
    <mergeCell ref="BZ56:BZ57"/>
    <mergeCell ref="BZ58:BZ59"/>
    <mergeCell ref="BZ60:BZ61"/>
    <mergeCell ref="BZ64:BZ65"/>
    <mergeCell ref="BZ62:BZ63"/>
    <mergeCell ref="I10:I11"/>
    <mergeCell ref="J10:J11"/>
    <mergeCell ref="K10:K11"/>
    <mergeCell ref="L10:L11"/>
    <mergeCell ref="M10:M11"/>
    <mergeCell ref="BV10:BV11"/>
    <mergeCell ref="BW10:BW11"/>
    <mergeCell ref="BS10:BS11"/>
    <mergeCell ref="AH10:AI11"/>
    <mergeCell ref="AJ10:AL11"/>
    <mergeCell ref="AR10:AR11"/>
    <mergeCell ref="AS10:AT11"/>
    <mergeCell ref="AN11:AO11"/>
    <mergeCell ref="BT10:BT11"/>
    <mergeCell ref="AQ10:AQ11"/>
    <mergeCell ref="AU10:AW11"/>
    <mergeCell ref="CV26:CV27"/>
    <mergeCell ref="BZ26:BZ27"/>
    <mergeCell ref="CC26:CC27"/>
    <mergeCell ref="CS12:CS13"/>
    <mergeCell ref="CV12:CV13"/>
    <mergeCell ref="CV24:CV25"/>
    <mergeCell ref="CS26:CS27"/>
    <mergeCell ref="BZ24:BZ25"/>
    <mergeCell ref="CC12:CC13"/>
    <mergeCell ref="CC24:CC25"/>
    <mergeCell ref="BZ18:BZ19"/>
    <mergeCell ref="BZ22:BZ23"/>
    <mergeCell ref="BZ20:BZ21"/>
    <mergeCell ref="BZ16:BZ17"/>
    <mergeCell ref="BZ12:BZ13"/>
    <mergeCell ref="CV28:CV29"/>
    <mergeCell ref="CV32:CV33"/>
    <mergeCell ref="CS34:CS35"/>
    <mergeCell ref="CV34:CV35"/>
    <mergeCell ref="CS36:CS37"/>
    <mergeCell ref="CV36:CV37"/>
    <mergeCell ref="CS32:CS33"/>
    <mergeCell ref="CS28:CS29"/>
    <mergeCell ref="BZ28:BZ29"/>
    <mergeCell ref="CC32:CC33"/>
    <mergeCell ref="CC28:CC29"/>
    <mergeCell ref="CC30:CC31"/>
    <mergeCell ref="CC36:CC37"/>
    <mergeCell ref="CC34:CC35"/>
    <mergeCell ref="BZ30:BZ31"/>
    <mergeCell ref="BZ36:BZ37"/>
    <mergeCell ref="CV66:CV67"/>
    <mergeCell ref="CS40:CS41"/>
    <mergeCell ref="CV40:CV41"/>
    <mergeCell ref="CS68:CS69"/>
    <mergeCell ref="CV68:CV69"/>
    <mergeCell ref="CS60:CS61"/>
    <mergeCell ref="CV60:CV61"/>
    <mergeCell ref="CS56:CS57"/>
    <mergeCell ref="CV56:CV57"/>
    <mergeCell ref="CS52:CS53"/>
    <mergeCell ref="CV52:CV53"/>
    <mergeCell ref="CS54:CS55"/>
    <mergeCell ref="CV54:CV55"/>
    <mergeCell ref="CS62:CS63"/>
    <mergeCell ref="CV62:CV63"/>
    <mergeCell ref="CS42:CS43"/>
    <mergeCell ref="CV42:CV43"/>
    <mergeCell ref="CS48:CS49"/>
    <mergeCell ref="CV48:CV49"/>
    <mergeCell ref="B10:G11"/>
    <mergeCell ref="BL9:BQ9"/>
    <mergeCell ref="EH73:EL73"/>
    <mergeCell ref="EQ73:ER73"/>
    <mergeCell ref="EM73:EP73"/>
    <mergeCell ref="CX10:CY10"/>
    <mergeCell ref="CS58:CS59"/>
    <mergeCell ref="CV58:CV59"/>
    <mergeCell ref="CS50:CS51"/>
    <mergeCell ref="CV50:CV51"/>
    <mergeCell ref="CS44:CS45"/>
    <mergeCell ref="CV44:CV45"/>
    <mergeCell ref="CS46:CS47"/>
    <mergeCell ref="CV46:CV47"/>
    <mergeCell ref="CS38:CS39"/>
    <mergeCell ref="CV38:CV39"/>
    <mergeCell ref="CS30:CS31"/>
    <mergeCell ref="CV30:CV31"/>
    <mergeCell ref="CS24:CS25"/>
    <mergeCell ref="CS70:CS71"/>
    <mergeCell ref="CV70:CV71"/>
    <mergeCell ref="CS64:CS65"/>
    <mergeCell ref="CV64:CV65"/>
    <mergeCell ref="CS66:CS67"/>
  </mergeCells>
  <phoneticPr fontId="4"/>
  <conditionalFormatting sqref="D12:D71">
    <cfRule type="cellIs" dxfId="62" priority="6" operator="equal">
      <formula>"重複"</formula>
    </cfRule>
  </conditionalFormatting>
  <conditionalFormatting sqref="P12:P71">
    <cfRule type="expression" dxfId="60" priority="5">
      <formula>$BE12&lt;7</formula>
    </cfRule>
  </conditionalFormatting>
  <conditionalFormatting sqref="Q12:Q71">
    <cfRule type="expression" dxfId="58" priority="25">
      <formula>$BD12="○"</formula>
    </cfRule>
  </conditionalFormatting>
  <conditionalFormatting sqref="S12:X71">
    <cfRule type="expression" dxfId="57" priority="26">
      <formula>$BE12&gt;=7</formula>
    </cfRule>
  </conditionalFormatting>
  <conditionalFormatting sqref="Y12:Y71">
    <cfRule type="expression" dxfId="56" priority="18">
      <formula>$BE12&lt;7</formula>
    </cfRule>
  </conditionalFormatting>
  <conditionalFormatting sqref="Z12:AL71">
    <cfRule type="expression" dxfId="53" priority="8">
      <formula>$D12="重複"</formula>
    </cfRule>
  </conditionalFormatting>
  <conditionalFormatting sqref="Z12:AW71">
    <cfRule type="expression" dxfId="52" priority="19">
      <formula>AND($CE12&gt;=1,$CE12&lt;=6)</formula>
    </cfRule>
  </conditionalFormatting>
  <dataValidations count="14">
    <dataValidation type="list" allowBlank="1" showInputMessage="1" showErrorMessage="1" sqref="F5:F9 F12:F71" xr:uid="{00000000-0002-0000-0100-000000000000}">
      <formula1>"男子"</formula1>
    </dataValidation>
    <dataValidation imeMode="on" allowBlank="1" showInputMessage="1" showErrorMessage="1" sqref="B1:C2" xr:uid="{00000000-0002-0000-0100-000001000000}"/>
    <dataValidation imeMode="off" allowBlank="1" showInputMessage="1" showErrorMessage="1" sqref="AJ72:AJ65460 AF72:AF65460 AH72:AH65460 AO72:AW65460" xr:uid="{00000000-0002-0000-0100-000002000000}"/>
    <dataValidation imeMode="halfAlpha" allowBlank="1" showInputMessage="1" showErrorMessage="1" sqref="X12:X71 AW12:AW71 AK12:AK71 AO12:AO71 AT12:AT71 G12:G71" xr:uid="{00000000-0002-0000-0100-000003000000}"/>
    <dataValidation imeMode="hiragana" allowBlank="1" showInputMessage="1" showErrorMessage="1" sqref="D12:E71 AP12:AQ71" xr:uid="{00000000-0002-0000-0100-000004000000}"/>
    <dataValidation type="list" allowBlank="1" showInputMessage="1" showErrorMessage="1" sqref="R12:R71" xr:uid="{00000000-0002-0000-0100-000005000000}">
      <formula1>$AY$14:$AY$17</formula1>
    </dataValidation>
    <dataValidation type="list" allowBlank="1" showInputMessage="1" showErrorMessage="1" sqref="S12:S71 U12:W71" xr:uid="{00000000-0002-0000-0100-000006000000}">
      <formula1>$AY$15:$AY$17</formula1>
    </dataValidation>
    <dataValidation type="list" allowBlank="1" showInputMessage="1" showErrorMessage="1" sqref="T12:T71" xr:uid="{00000000-0002-0000-0100-000007000000}">
      <formula1>$AY$18:$AY$19</formula1>
    </dataValidation>
    <dataValidation type="list" allowBlank="1" showInputMessage="1" showErrorMessage="1" sqref="J12:O71" xr:uid="{00000000-0002-0000-0100-000008000000}">
      <formula1>$AY$12:$AY$13</formula1>
    </dataValidation>
    <dataValidation type="list" allowBlank="1" showInputMessage="1" showErrorMessage="1" sqref="AM12:AN71" xr:uid="{00000000-0002-0000-0100-000009000000}">
      <formula1>"オープン"</formula1>
    </dataValidation>
    <dataValidation type="list" allowBlank="1" showInputMessage="1" showErrorMessage="1" sqref="Y12:Y71 P12:Q71" xr:uid="{00000000-0002-0000-0100-00000A000000}">
      <formula1>"○"</formula1>
    </dataValidation>
    <dataValidation type="list" imeMode="halfAlpha" allowBlank="1" showInputMessage="1" showErrorMessage="1" sqref="AS12:AS71 AU12:AU71" xr:uid="{00000000-0002-0000-0100-00000B000000}">
      <formula1>IF($I12&gt;=16,$AY$24,$AY$23:$AY$24)</formula1>
    </dataValidation>
    <dataValidation type="list" imeMode="halfAlpha" allowBlank="1" showInputMessage="1" showErrorMessage="1" sqref="AR12:AR71" xr:uid="{00000000-0002-0000-0100-00000C000000}">
      <formula1>IF($I12&lt;16,$AY$23,$AY$24)</formula1>
    </dataValidation>
    <dataValidation type="list" imeMode="halfAlpha" allowBlank="1" showInputMessage="1" showErrorMessage="1" sqref="AV12:AV71" xr:uid="{60B5F483-B0D8-40B1-9E4C-E706F732F7E5}">
      <formula1>"入門,初級,中級,上級,最上級"</formula1>
    </dataValidation>
  </dataValidations>
  <pageMargins left="0.23622047244094491" right="0.19685039370078741" top="0.43307086614173229" bottom="0.11811023622047245" header="0.31496062992125984" footer="0.11811023622047245"/>
  <pageSetup paperSize="9" scale="70" pageOrder="overThenDown" orientation="landscape" r:id="rId1"/>
  <rowBreaks count="1" manualBreakCount="1">
    <brk id="41" min="8" max="44" man="1"/>
  </rowBreaks>
  <colBreaks count="1" manualBreakCount="1">
    <brk id="25" min="11" max="70" man="1"/>
  </col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551FB278-42AA-4DD2-A43B-755367E55BDE}">
            <xm:f>OR(団体情報・入力の仕方!$C$3="目黒区大会",団体情報・入力の仕方!$C$3="品川区大会")</xm:f>
            <x14:dxf>
              <fill>
                <patternFill>
                  <bgColor theme="0" tint="-0.499984740745262"/>
                </patternFill>
              </fill>
            </x14:dxf>
          </x14:cfRule>
          <xm:sqref>P1:P1048576</xm:sqref>
        </x14:conditionalFormatting>
        <x14:conditionalFormatting xmlns:xm="http://schemas.microsoft.com/office/excel/2006/main">
          <x14:cfRule type="expression" priority="3" id="{ED4A0BAD-CA48-45D3-8C92-F13B5BAF762D}">
            <xm:f>OR(団体情報・入力の仕方!$C$3="品川区大会",団体情報・入力の仕方!$C$3="小平市大会",団体情報・入力の仕方!$C$3="世田谷区大会")</xm:f>
            <x14:dxf>
              <fill>
                <patternFill>
                  <bgColor theme="0" tint="-0.499984740745262"/>
                </patternFill>
              </fill>
            </x14:dxf>
          </x14:cfRule>
          <xm:sqref>Q1:Q1048576</xm:sqref>
        </x14:conditionalFormatting>
        <x14:conditionalFormatting xmlns:xm="http://schemas.microsoft.com/office/excel/2006/main">
          <x14:cfRule type="expression" priority="14" id="{B474A9FD-3649-48BB-B31C-EA2A2709A587}">
            <xm:f>OR(団体情報・入力の仕方!$C$3="目黒区大会",団体情報・入力の仕方!$C$3="小平市大会",団体情報・入力の仕方!$C$3="品川区大会")</xm:f>
            <x14:dxf>
              <fill>
                <patternFill>
                  <bgColor theme="0" tint="-0.499984740745262"/>
                </patternFill>
              </fill>
            </x14:dxf>
          </x14:cfRule>
          <xm:sqref>Y2:AO3</xm:sqref>
        </x14:conditionalFormatting>
        <x14:conditionalFormatting xmlns:xm="http://schemas.microsoft.com/office/excel/2006/main">
          <x14:cfRule type="expression" priority="15" id="{DA28D7F0-77E7-482F-9F12-AD7E132322CE}">
            <xm:f>(団体情報・入力の仕方!$C$3="目黒区大会")</xm:f>
            <x14:dxf>
              <fill>
                <patternFill>
                  <bgColor theme="0" tint="-0.499984740745262"/>
                </patternFill>
              </fill>
            </x14:dxf>
          </x14:cfRule>
          <xm:sqref>Z1:AL1048576</xm:sqref>
        </x14:conditionalFormatting>
        <x14:conditionalFormatting xmlns:xm="http://schemas.microsoft.com/office/excel/2006/main">
          <x14:cfRule type="expression" priority="13" id="{1EA66A0A-E68C-47AA-A502-B2B79634450B}">
            <xm:f>団体情報・入力の仕方!$C$3&lt;&gt;"港区大会"</xm:f>
            <x14:dxf>
              <fill>
                <patternFill>
                  <bgColor theme="0" tint="-0.499984740745262"/>
                </patternFill>
              </fill>
            </x14:dxf>
          </x14:cfRule>
          <xm:sqref>AR4:AT1048576 AR1:AT1 AR2</xm:sqref>
        </x14:conditionalFormatting>
        <x14:conditionalFormatting xmlns:xm="http://schemas.microsoft.com/office/excel/2006/main">
          <x14:cfRule type="expression" priority="11" id="{00000000-000E-0000-0100-000001000000}">
            <xm:f>団体情報・入力の仕方!$C$3="港区大会"</xm:f>
            <x14:dxf>
              <fill>
                <patternFill patternType="none">
                  <bgColor auto="1"/>
                </patternFill>
              </fill>
            </x14:dxf>
          </x14:cfRule>
          <xm:sqref>AR12:AT71</xm:sqref>
        </x14:conditionalFormatting>
        <x14:conditionalFormatting xmlns:xm="http://schemas.microsoft.com/office/excel/2006/main">
          <x14:cfRule type="expression" priority="2" id="{BE2B00FC-7569-499E-BF40-11E0FD13EB22}">
            <xm:f>団体情報・入力の仕方!$C$3&lt;&gt;"世田谷区大会"</xm:f>
            <x14:dxf>
              <fill>
                <patternFill>
                  <bgColor theme="0" tint="-0.499984740745262"/>
                </patternFill>
              </fill>
            </x14:dxf>
          </x14:cfRule>
          <xm:sqref>AU1:AW1048576</xm:sqref>
        </x14:conditionalFormatting>
        <x14:conditionalFormatting xmlns:xm="http://schemas.microsoft.com/office/excel/2006/main">
          <x14:cfRule type="expression" priority="1" id="{CAC0D232-18C4-4FF6-947C-793F7D8B3BF2}">
            <xm:f>団体情報・入力の仕方!$C$3="世田谷区大会"</xm:f>
            <x14:dxf>
              <fill>
                <patternFill patternType="none">
                  <bgColor auto="1"/>
                </patternFill>
              </fill>
            </x14:dxf>
          </x14:cfRule>
          <xm:sqref>AU12:AW71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D000000}">
          <x14:formula1>
            <xm:f>INDIRECT(Sheet1!$A$11)</xm:f>
          </x14:formula1>
          <xm:sqref>Z12:Z71 AB12:AB71 AD12:AD71 AF12:AF71 AH12:AH71 AJ12:AJ71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8F574-61DF-49AE-9F8F-308D258D9073}">
  <sheetPr>
    <tabColor theme="3" tint="0.79998168889431442"/>
  </sheetPr>
  <dimension ref="A1:EY124"/>
  <sheetViews>
    <sheetView zoomScaleNormal="100" workbookViewId="0">
      <pane xSplit="8" ySplit="11" topLeftCell="I12" activePane="bottomRight" state="frozen"/>
      <selection activeCell="I31" sqref="I31:K31"/>
      <selection pane="topRight" activeCell="I31" sqref="I31:K31"/>
      <selection pane="bottomLeft" activeCell="I31" sqref="I31:K31"/>
      <selection pane="bottomRight" activeCell="G12" sqref="G12"/>
    </sheetView>
  </sheetViews>
  <sheetFormatPr defaultRowHeight="18.75" customHeight="1" x14ac:dyDescent="0.2"/>
  <cols>
    <col min="1" max="1" width="3.44140625" hidden="1" customWidth="1"/>
    <col min="2" max="2" width="4.33203125" style="49" bestFit="1" customWidth="1"/>
    <col min="3" max="3" width="11.6640625" style="49" customWidth="1"/>
    <col min="4" max="4" width="13.77734375" style="49" customWidth="1"/>
    <col min="5" max="5" width="17.109375" style="49" customWidth="1"/>
    <col min="6" max="6" width="5.21875" style="137" bestFit="1" customWidth="1"/>
    <col min="7" max="7" width="15.6640625" style="133" bestFit="1" customWidth="1"/>
    <col min="8" max="8" width="11.109375" style="138" customWidth="1"/>
    <col min="9" max="9" width="7.33203125" style="1" customWidth="1"/>
    <col min="10" max="13" width="7.44140625" style="133" customWidth="1"/>
    <col min="14" max="15" width="7.44140625" style="133" hidden="1" customWidth="1"/>
    <col min="16" max="17" width="9.88671875" style="1" hidden="1" customWidth="1"/>
    <col min="18" max="22" width="10.77734375" style="133" customWidth="1"/>
    <col min="23" max="23" width="6.21875" style="133" customWidth="1"/>
    <col min="24" max="24" width="6.21875" style="137" customWidth="1"/>
    <col min="25" max="25" width="9.88671875" style="1" hidden="1" customWidth="1"/>
    <col min="26" max="26" width="8.77734375" style="356" hidden="1" customWidth="1"/>
    <col min="27" max="27" width="7.109375" style="350" hidden="1" customWidth="1"/>
    <col min="28" max="28" width="8.77734375" style="356" hidden="1" customWidth="1"/>
    <col min="29" max="29" width="7.109375" style="350" hidden="1" customWidth="1"/>
    <col min="30" max="30" width="8.77734375" style="356" hidden="1" customWidth="1"/>
    <col min="31" max="31" width="7.109375" style="350" hidden="1" customWidth="1"/>
    <col min="32" max="32" width="8.77734375" style="356" hidden="1" customWidth="1"/>
    <col min="33" max="33" width="7.109375" style="350" hidden="1" customWidth="1"/>
    <col min="34" max="34" width="8.77734375" style="356" hidden="1" customWidth="1"/>
    <col min="35" max="35" width="7.109375" style="350" hidden="1" customWidth="1"/>
    <col min="36" max="36" width="8.109375" style="356" hidden="1" customWidth="1"/>
    <col min="37" max="37" width="5" style="394" hidden="1" customWidth="1"/>
    <col min="38" max="38" width="7.109375" style="395" hidden="1" customWidth="1"/>
    <col min="39" max="39" width="14.33203125" style="394" hidden="1" customWidth="1"/>
    <col min="40" max="40" width="8.6640625" style="394" hidden="1" customWidth="1"/>
    <col min="41" max="41" width="5.44140625" style="356" hidden="1" customWidth="1"/>
    <col min="42" max="42" width="16.6640625" style="356" hidden="1" customWidth="1"/>
    <col min="43" max="43" width="0.109375" style="356" hidden="1" customWidth="1"/>
    <col min="44" max="45" width="11.33203125" style="356" hidden="1" customWidth="1"/>
    <col min="46" max="46" width="6.6640625" style="356" hidden="1" customWidth="1"/>
    <col min="47" max="47" width="9" customWidth="1"/>
    <col min="48" max="48" width="9" hidden="1" customWidth="1"/>
    <col min="49" max="49" width="16.6640625" hidden="1" customWidth="1"/>
    <col min="50" max="50" width="5.21875" hidden="1" customWidth="1"/>
    <col min="51" max="51" width="2.6640625" hidden="1" customWidth="1"/>
    <col min="52" max="52" width="4.21875" hidden="1" customWidth="1"/>
    <col min="53" max="53" width="10.88671875" hidden="1" customWidth="1"/>
    <col min="54" max="54" width="9" hidden="1" customWidth="1"/>
    <col min="55" max="67" width="9" style="1" hidden="1" customWidth="1"/>
    <col min="68" max="70" width="9" hidden="1" customWidth="1"/>
    <col min="71" max="71" width="10.109375" hidden="1" customWidth="1"/>
    <col min="72" max="72" width="11.6640625" hidden="1" customWidth="1"/>
    <col min="73" max="74" width="9" hidden="1" customWidth="1"/>
    <col min="75" max="75" width="6.77734375" hidden="1" customWidth="1"/>
    <col min="76" max="76" width="5.44140625" hidden="1" customWidth="1"/>
    <col min="77" max="77" width="10.44140625" hidden="1" customWidth="1"/>
    <col min="78" max="78" width="9" hidden="1" customWidth="1"/>
    <col min="79" max="79" width="1.44140625" hidden="1" customWidth="1"/>
    <col min="80" max="80" width="8" style="140" hidden="1" customWidth="1"/>
    <col min="81" max="81" width="9" hidden="1" customWidth="1"/>
    <col min="82" max="82" width="4.77734375" hidden="1" customWidth="1"/>
    <col min="83" max="83" width="11.21875" hidden="1" customWidth="1"/>
    <col min="84" max="84" width="5.21875" hidden="1" customWidth="1"/>
    <col min="85" max="85" width="12.21875" hidden="1" customWidth="1"/>
    <col min="86" max="86" width="5.21875" hidden="1" customWidth="1"/>
    <col min="87" max="87" width="9" hidden="1" customWidth="1"/>
    <col min="88" max="88" width="4.77734375" hidden="1" customWidth="1"/>
    <col min="89" max="89" width="9" hidden="1" customWidth="1"/>
    <col min="90" max="90" width="4.77734375" hidden="1" customWidth="1"/>
    <col min="91" max="91" width="3.77734375" hidden="1" customWidth="1"/>
    <col min="92" max="92" width="7.6640625" hidden="1" customWidth="1"/>
    <col min="93" max="93" width="6" hidden="1" customWidth="1"/>
    <col min="94" max="94" width="6.77734375" hidden="1" customWidth="1"/>
    <col min="95" max="95" width="4.44140625" style="1" hidden="1" customWidth="1"/>
    <col min="96" max="96" width="7" hidden="1" customWidth="1"/>
    <col min="97" max="97" width="9" hidden="1" customWidth="1"/>
    <col min="98" max="98" width="4.77734375" hidden="1" customWidth="1"/>
    <col min="99" max="100" width="9" hidden="1" customWidth="1"/>
    <col min="101" max="101" width="3.77734375" hidden="1" customWidth="1"/>
    <col min="102" max="102" width="9" hidden="1" customWidth="1"/>
    <col min="103" max="103" width="6" hidden="1" customWidth="1"/>
    <col min="104" max="104" width="6.77734375" hidden="1" customWidth="1"/>
    <col min="105" max="105" width="4.44140625" style="1" hidden="1" customWidth="1"/>
    <col min="106" max="106" width="10.44140625" hidden="1" customWidth="1"/>
    <col min="107" max="107" width="9" hidden="1" customWidth="1"/>
    <col min="108" max="108" width="5.44140625" hidden="1" customWidth="1"/>
    <col min="109" max="109" width="8" style="140" hidden="1" customWidth="1"/>
    <col min="110" max="110" width="10.109375" hidden="1" customWidth="1"/>
    <col min="111" max="111" width="4.77734375" hidden="1" customWidth="1"/>
    <col min="112" max="112" width="10.109375" hidden="1" customWidth="1"/>
    <col min="113" max="113" width="4.77734375" hidden="1" customWidth="1"/>
    <col min="114" max="114" width="10.109375" hidden="1" customWidth="1"/>
    <col min="115" max="115" width="4.77734375" hidden="1" customWidth="1"/>
    <col min="116" max="116" width="8" style="140" hidden="1" customWidth="1"/>
    <col min="117" max="117" width="9" hidden="1" customWidth="1"/>
    <col min="118" max="118" width="4.77734375" hidden="1" customWidth="1"/>
    <col min="119" max="119" width="9" hidden="1" customWidth="1"/>
    <col min="120" max="120" width="4.77734375" hidden="1" customWidth="1"/>
    <col min="121" max="121" width="4.6640625" hidden="1" customWidth="1"/>
    <col min="122" max="122" width="8.21875" hidden="1" customWidth="1"/>
    <col min="123" max="123" width="6" hidden="1" customWidth="1"/>
    <col min="124" max="124" width="6.77734375" hidden="1" customWidth="1"/>
    <col min="125" max="125" width="4.44140625" style="1" hidden="1" customWidth="1"/>
    <col min="126" max="126" width="7" hidden="1" customWidth="1"/>
    <col min="127" max="127" width="9" hidden="1" customWidth="1"/>
    <col min="128" max="129" width="4.77734375" hidden="1" customWidth="1"/>
    <col min="130" max="130" width="9.88671875" hidden="1" customWidth="1"/>
    <col min="131" max="134" width="4.77734375" hidden="1" customWidth="1"/>
    <col min="135" max="142" width="7.109375" style="18" hidden="1" customWidth="1"/>
    <col min="143" max="143" width="8.44140625" style="18" hidden="1" customWidth="1"/>
    <col min="144" max="146" width="7" hidden="1" customWidth="1"/>
    <col min="147" max="147" width="9" style="18" hidden="1" customWidth="1"/>
    <col min="148" max="148" width="3.33203125" hidden="1" customWidth="1"/>
    <col min="149" max="151" width="6.6640625" hidden="1" customWidth="1"/>
    <col min="152" max="152" width="7.44140625" hidden="1" customWidth="1"/>
    <col min="153" max="154" width="6.6640625" hidden="1" customWidth="1"/>
    <col min="155" max="155" width="18.33203125" hidden="1" customWidth="1"/>
    <col min="156" max="156" width="18.33203125" customWidth="1"/>
    <col min="157" max="157" width="9" customWidth="1"/>
  </cols>
  <sheetData>
    <row r="1" spans="1:155" ht="28.5" customHeight="1" thickBot="1" x14ac:dyDescent="0.25">
      <c r="B1" s="55" t="s">
        <v>844</v>
      </c>
      <c r="C1" s="55"/>
      <c r="D1" s="55"/>
      <c r="E1" s="55"/>
      <c r="F1" s="56"/>
      <c r="G1" s="57"/>
      <c r="H1" s="37"/>
      <c r="I1" s="192"/>
      <c r="J1" s="798" t="s">
        <v>646</v>
      </c>
      <c r="K1" s="798"/>
      <c r="L1" s="798"/>
      <c r="M1" s="798"/>
      <c r="N1" s="430"/>
      <c r="O1" s="430"/>
      <c r="P1" s="218" t="str">
        <f>IF(OR(団体情報・入力の仕方!$C$3="品川区大会",団体情報・入力の仕方!$C$3="小平市大会"),"","○を選択")</f>
        <v>○を選択</v>
      </c>
      <c r="Q1" s="218" t="str">
        <f>IF(OR(団体情報・入力の仕方!$C$3="品川区大会",団体情報・入力の仕方!$C$3="小平市大会",団体情報・入力の仕方!$C$3="世田谷区大会"),"","○を選択")</f>
        <v>○を選択</v>
      </c>
      <c r="R1" s="798" t="str">
        <f>IF(団体情報・入力の仕方!$C$3="小平市大会","","入門・初級・中級・上級を選択")</f>
        <v>入門・初級・中級・上級を選択</v>
      </c>
      <c r="S1" s="798"/>
      <c r="T1" s="798"/>
      <c r="U1" s="798"/>
      <c r="V1" s="798"/>
      <c r="W1" s="798"/>
      <c r="X1" s="798"/>
      <c r="Y1" s="218"/>
      <c r="AB1" s="799" t="str">
        <f>IF(OR(団体情報・入力の仕方!$C$3="小平市大会",団体情報・入力の仕方!$C$3="品川区大会"),"",Sheet1!A17)</f>
        <v>○を選択</v>
      </c>
      <c r="AC1" s="799"/>
      <c r="AD1" s="799"/>
      <c r="AE1" s="799"/>
      <c r="AF1" s="799"/>
      <c r="AG1" s="799"/>
      <c r="AH1" s="799"/>
      <c r="AI1" s="431"/>
      <c r="AJ1" s="431"/>
      <c r="AK1" s="431"/>
      <c r="AL1" s="431"/>
      <c r="AM1" s="431"/>
      <c r="AN1" s="431"/>
      <c r="AO1" s="431"/>
      <c r="AP1" s="357"/>
      <c r="AQ1" s="357"/>
      <c r="AR1" s="357"/>
      <c r="AS1" s="357"/>
      <c r="AT1" s="357"/>
      <c r="AU1" s="37"/>
      <c r="AV1" s="37"/>
    </row>
    <row r="2" spans="1:155" ht="18.75" customHeight="1" x14ac:dyDescent="0.2">
      <c r="B2" s="745">
        <f>団体情報・入力の仕方!$G$4</f>
        <v>0</v>
      </c>
      <c r="C2" s="746"/>
      <c r="D2" s="746"/>
      <c r="E2" s="747">
        <f>団体情報・入力の仕方!$C$5</f>
        <v>0</v>
      </c>
      <c r="F2" s="747"/>
      <c r="G2" s="748"/>
      <c r="H2" s="829" t="s">
        <v>0</v>
      </c>
      <c r="I2" s="776" t="s">
        <v>459</v>
      </c>
      <c r="J2" s="800" t="s">
        <v>505</v>
      </c>
      <c r="K2" s="801"/>
      <c r="L2" s="801"/>
      <c r="M2" s="802"/>
      <c r="N2" s="432"/>
      <c r="O2" s="433"/>
      <c r="P2" s="258" t="s">
        <v>504</v>
      </c>
      <c r="Q2" s="258" t="s">
        <v>504</v>
      </c>
      <c r="R2" s="821" t="s">
        <v>522</v>
      </c>
      <c r="S2" s="822"/>
      <c r="T2" s="822"/>
      <c r="U2" s="822"/>
      <c r="V2" s="822"/>
      <c r="W2" s="822"/>
      <c r="X2" s="823"/>
      <c r="Y2" s="803" t="str">
        <f>Sheet1!A14</f>
        <v>オープン６種目選手権</v>
      </c>
      <c r="Z2" s="804"/>
      <c r="AA2" s="804"/>
      <c r="AB2" s="804"/>
      <c r="AC2" s="804"/>
      <c r="AD2" s="804"/>
      <c r="AE2" s="804"/>
      <c r="AF2" s="804"/>
      <c r="AG2" s="804"/>
      <c r="AH2" s="804"/>
      <c r="AI2" s="804"/>
      <c r="AJ2" s="804"/>
      <c r="AK2" s="804"/>
      <c r="AL2" s="804"/>
      <c r="AM2" s="804"/>
      <c r="AN2" s="804"/>
      <c r="AO2" s="805"/>
      <c r="AP2" s="358"/>
      <c r="AQ2" s="359"/>
      <c r="AR2" s="785" t="s">
        <v>680</v>
      </c>
      <c r="AS2" s="786"/>
      <c r="AT2" s="787"/>
    </row>
    <row r="3" spans="1:155" ht="18.75" customHeight="1" x14ac:dyDescent="0.2">
      <c r="B3" s="761" t="s">
        <v>62</v>
      </c>
      <c r="C3" s="763" t="s">
        <v>672</v>
      </c>
      <c r="D3" s="763" t="s">
        <v>63</v>
      </c>
      <c r="E3" s="763" t="s">
        <v>332</v>
      </c>
      <c r="F3" s="763" t="s">
        <v>18</v>
      </c>
      <c r="G3" s="765" t="s">
        <v>64</v>
      </c>
      <c r="H3" s="830"/>
      <c r="I3" s="777"/>
      <c r="J3" s="768" t="s">
        <v>647</v>
      </c>
      <c r="K3" s="768"/>
      <c r="L3" s="768"/>
      <c r="M3" s="769"/>
      <c r="N3" s="772" t="s">
        <v>648</v>
      </c>
      <c r="O3" s="773"/>
      <c r="P3" s="825" t="s">
        <v>649</v>
      </c>
      <c r="Q3" s="815" t="s">
        <v>833</v>
      </c>
      <c r="R3" s="824"/>
      <c r="S3" s="768"/>
      <c r="T3" s="768"/>
      <c r="U3" s="768"/>
      <c r="V3" s="768"/>
      <c r="W3" s="768"/>
      <c r="X3" s="773"/>
      <c r="Y3" s="806"/>
      <c r="Z3" s="807"/>
      <c r="AA3" s="807"/>
      <c r="AB3" s="807"/>
      <c r="AC3" s="807"/>
      <c r="AD3" s="807"/>
      <c r="AE3" s="807"/>
      <c r="AF3" s="807"/>
      <c r="AG3" s="807"/>
      <c r="AH3" s="807"/>
      <c r="AI3" s="807"/>
      <c r="AJ3" s="807"/>
      <c r="AK3" s="807"/>
      <c r="AL3" s="807"/>
      <c r="AM3" s="807"/>
      <c r="AN3" s="807"/>
      <c r="AO3" s="808"/>
      <c r="AP3" s="779"/>
      <c r="AQ3" s="780"/>
      <c r="AR3" s="788"/>
      <c r="AS3" s="789"/>
      <c r="AT3" s="790"/>
    </row>
    <row r="4" spans="1:155" ht="26.25" customHeight="1" thickBot="1" x14ac:dyDescent="0.25">
      <c r="B4" s="762"/>
      <c r="C4" s="764"/>
      <c r="D4" s="764"/>
      <c r="E4" s="764"/>
      <c r="F4" s="764"/>
      <c r="G4" s="766"/>
      <c r="H4" s="831"/>
      <c r="I4" s="778"/>
      <c r="J4" s="259" t="s">
        <v>524</v>
      </c>
      <c r="K4" s="260" t="s">
        <v>526</v>
      </c>
      <c r="L4" s="260" t="s">
        <v>528</v>
      </c>
      <c r="M4" s="259" t="s">
        <v>529</v>
      </c>
      <c r="N4" s="260" t="s">
        <v>526</v>
      </c>
      <c r="O4" s="261" t="s">
        <v>528</v>
      </c>
      <c r="P4" s="826"/>
      <c r="Q4" s="816"/>
      <c r="R4" s="262" t="s">
        <v>453</v>
      </c>
      <c r="S4" s="263" t="s">
        <v>454</v>
      </c>
      <c r="T4" s="264" t="s">
        <v>455</v>
      </c>
      <c r="U4" s="263" t="s">
        <v>145</v>
      </c>
      <c r="V4" s="265" t="s">
        <v>434</v>
      </c>
      <c r="W4" s="813" t="s">
        <v>433</v>
      </c>
      <c r="X4" s="814"/>
      <c r="Y4" s="434" t="s">
        <v>655</v>
      </c>
      <c r="Z4" s="435" t="s">
        <v>453</v>
      </c>
      <c r="AA4" s="293" t="s">
        <v>656</v>
      </c>
      <c r="AB4" s="436" t="s">
        <v>454</v>
      </c>
      <c r="AC4" s="293" t="s">
        <v>656</v>
      </c>
      <c r="AD4" s="436" t="s">
        <v>455</v>
      </c>
      <c r="AE4" s="293" t="s">
        <v>656</v>
      </c>
      <c r="AF4" s="436" t="s">
        <v>145</v>
      </c>
      <c r="AG4" s="293" t="s">
        <v>656</v>
      </c>
      <c r="AH4" s="436" t="s">
        <v>434</v>
      </c>
      <c r="AI4" s="293" t="s">
        <v>656</v>
      </c>
      <c r="AJ4" s="827" t="s">
        <v>433</v>
      </c>
      <c r="AK4" s="828"/>
      <c r="AL4" s="293" t="s">
        <v>656</v>
      </c>
      <c r="AM4" s="360" t="s">
        <v>660</v>
      </c>
      <c r="AN4" s="770" t="s">
        <v>661</v>
      </c>
      <c r="AO4" s="771"/>
      <c r="AP4" s="293"/>
      <c r="AQ4" s="361"/>
      <c r="AR4" s="472" t="s">
        <v>681</v>
      </c>
      <c r="AS4" s="783" t="s">
        <v>682</v>
      </c>
      <c r="AT4" s="784"/>
    </row>
    <row r="5" spans="1:155" ht="18.75" customHeight="1" thickTop="1" x14ac:dyDescent="0.2">
      <c r="B5" s="19" t="s">
        <v>65</v>
      </c>
      <c r="C5" s="454" t="s">
        <v>673</v>
      </c>
      <c r="D5" s="20" t="s">
        <v>66</v>
      </c>
      <c r="E5" s="20" t="s">
        <v>333</v>
      </c>
      <c r="F5" s="327"/>
      <c r="G5" s="40">
        <v>38812</v>
      </c>
      <c r="H5" s="351"/>
      <c r="I5" s="266">
        <f>IF($AW5=0,"",DATEDIF($AW5,参照データ!$D$16,"Y"))</f>
        <v>19</v>
      </c>
      <c r="J5" s="267"/>
      <c r="K5" s="267"/>
      <c r="L5" s="267"/>
      <c r="M5" s="267"/>
      <c r="N5" s="267"/>
      <c r="O5" s="268"/>
      <c r="P5" s="269"/>
      <c r="Q5" s="269"/>
      <c r="R5" s="270"/>
      <c r="S5" s="267" t="s">
        <v>662</v>
      </c>
      <c r="T5" s="267"/>
      <c r="U5" s="267"/>
      <c r="V5" s="271"/>
      <c r="W5" s="272" t="s">
        <v>526</v>
      </c>
      <c r="X5" s="273" t="s">
        <v>663</v>
      </c>
      <c r="Y5" s="437"/>
      <c r="Z5" s="362" t="str">
        <f>IF(団体情報・入力の仕方!$C$3="大田区大会","選手権","○")</f>
        <v>○</v>
      </c>
      <c r="AA5" s="347" t="str">
        <f>IF(団体情報・入力の仕方!$C$3="大田区大会","女子JrⅠ","JrⅠ")</f>
        <v>JrⅠ</v>
      </c>
      <c r="AB5" s="363"/>
      <c r="AC5" s="347"/>
      <c r="AD5" s="363"/>
      <c r="AE5" s="347"/>
      <c r="AF5" s="363"/>
      <c r="AG5" s="347"/>
      <c r="AH5" s="363"/>
      <c r="AI5" s="347"/>
      <c r="AJ5" s="364" t="str">
        <f>IF(団体情報・入力の仕方!$C$3="大田区大会","選手権","○")</f>
        <v>○</v>
      </c>
      <c r="AK5" s="365" t="s">
        <v>663</v>
      </c>
      <c r="AL5" s="366" t="s">
        <v>724</v>
      </c>
      <c r="AM5" s="364"/>
      <c r="AN5" s="364" t="s">
        <v>665</v>
      </c>
      <c r="AO5" s="438" t="s">
        <v>663</v>
      </c>
      <c r="AP5" s="439"/>
      <c r="AQ5" s="367"/>
      <c r="AR5" s="473"/>
      <c r="AS5" s="467" t="s">
        <v>679</v>
      </c>
      <c r="AT5" s="474" t="s">
        <v>71</v>
      </c>
      <c r="AW5">
        <f t="shared" ref="AW5:AW9" si="0">VALUE($G5)</f>
        <v>38812</v>
      </c>
    </row>
    <row r="6" spans="1:155" ht="18.75" customHeight="1" x14ac:dyDescent="0.2">
      <c r="B6" s="38"/>
      <c r="C6" s="47"/>
      <c r="D6" s="46" t="s">
        <v>150</v>
      </c>
      <c r="E6" s="39"/>
      <c r="F6" s="327"/>
      <c r="G6" s="40"/>
      <c r="H6" s="352"/>
      <c r="I6" s="155" t="str">
        <f>IF($AW6=0,"",DATEDIF($AW6,参照データ!$D$16,"Y"))</f>
        <v/>
      </c>
      <c r="J6" s="267"/>
      <c r="K6" s="267"/>
      <c r="L6" s="267"/>
      <c r="M6" s="267"/>
      <c r="N6" s="267"/>
      <c r="O6" s="268"/>
      <c r="P6" s="274"/>
      <c r="Q6" s="274"/>
      <c r="R6" s="270"/>
      <c r="S6" s="267" t="s">
        <v>666</v>
      </c>
      <c r="T6" s="267"/>
      <c r="U6" s="267"/>
      <c r="V6" s="271"/>
      <c r="W6" s="275"/>
      <c r="X6" s="273"/>
      <c r="Y6" s="440"/>
      <c r="Z6" s="362"/>
      <c r="AA6" s="347"/>
      <c r="AB6" s="363"/>
      <c r="AC6" s="347"/>
      <c r="AD6" s="363"/>
      <c r="AE6" s="347"/>
      <c r="AF6" s="368"/>
      <c r="AG6" s="347"/>
      <c r="AH6" s="363"/>
      <c r="AI6" s="347"/>
      <c r="AJ6" s="369"/>
      <c r="AK6" s="365"/>
      <c r="AL6" s="370"/>
      <c r="AM6" s="369"/>
      <c r="AN6" s="369"/>
      <c r="AO6" s="438"/>
      <c r="AP6" s="441"/>
      <c r="AQ6" s="371"/>
      <c r="AR6" s="475"/>
      <c r="AS6" s="468"/>
      <c r="AT6" s="476"/>
      <c r="AW6">
        <f t="shared" si="0"/>
        <v>0</v>
      </c>
      <c r="BB6" t="s">
        <v>68</v>
      </c>
      <c r="DU6" s="322" t="s">
        <v>541</v>
      </c>
    </row>
    <row r="7" spans="1:155" ht="18.75" customHeight="1" x14ac:dyDescent="0.2">
      <c r="B7" s="22" t="s">
        <v>65</v>
      </c>
      <c r="C7" s="47" t="s">
        <v>673</v>
      </c>
      <c r="D7" s="23" t="s">
        <v>67</v>
      </c>
      <c r="E7" s="23" t="s">
        <v>334</v>
      </c>
      <c r="F7" s="327"/>
      <c r="G7" s="40">
        <v>37507</v>
      </c>
      <c r="H7" s="353"/>
      <c r="I7" s="266">
        <f>IF($AW7=0,"",DATEDIF($AW7,参照データ!$D$16,"Y"))</f>
        <v>23</v>
      </c>
      <c r="J7" s="267"/>
      <c r="K7" s="267"/>
      <c r="L7" s="267" t="s">
        <v>667</v>
      </c>
      <c r="M7" s="267"/>
      <c r="N7" s="267"/>
      <c r="O7" s="268"/>
      <c r="P7" s="274"/>
      <c r="Q7" s="274"/>
      <c r="R7" s="270"/>
      <c r="S7" s="267"/>
      <c r="T7" s="267"/>
      <c r="U7" s="267" t="s">
        <v>526</v>
      </c>
      <c r="V7" s="271"/>
      <c r="W7" s="275" t="s">
        <v>526</v>
      </c>
      <c r="X7" s="273" t="s">
        <v>668</v>
      </c>
      <c r="Y7" s="440"/>
      <c r="Z7" s="362"/>
      <c r="AA7" s="347"/>
      <c r="AB7" s="363"/>
      <c r="AC7" s="347"/>
      <c r="AD7" s="363" t="str">
        <f>IF(団体情報・入力の仕方!$C$3="大田区大会","選手権","○")</f>
        <v>○</v>
      </c>
      <c r="AE7" s="347" t="str">
        <f>IF(団体情報・入力の仕方!C3="大田区大会","女子SrⅠ","SrⅠ")</f>
        <v>SrⅠ</v>
      </c>
      <c r="AF7" s="372"/>
      <c r="AG7" s="347"/>
      <c r="AH7" s="363"/>
      <c r="AI7" s="347"/>
      <c r="AJ7" s="373"/>
      <c r="AK7" s="365"/>
      <c r="AL7" s="374"/>
      <c r="AM7" s="373"/>
      <c r="AN7" s="373" t="s">
        <v>665</v>
      </c>
      <c r="AO7" s="438" t="s">
        <v>668</v>
      </c>
      <c r="AP7" s="438"/>
      <c r="AQ7" s="375"/>
      <c r="AR7" s="475" t="s">
        <v>679</v>
      </c>
      <c r="AS7" s="468" t="s">
        <v>679</v>
      </c>
      <c r="AT7" s="476" t="s">
        <v>73</v>
      </c>
      <c r="AW7">
        <f t="shared" si="0"/>
        <v>37507</v>
      </c>
      <c r="B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R7" s="1"/>
      <c r="CS7" s="1"/>
      <c r="CT7" s="1"/>
      <c r="CU7" s="1"/>
      <c r="CV7" s="1"/>
      <c r="CW7" s="1"/>
      <c r="CX7" s="1"/>
      <c r="CY7" s="1"/>
      <c r="CZ7" s="1"/>
      <c r="DB7" s="1"/>
      <c r="DC7" s="1"/>
      <c r="DF7" s="1"/>
      <c r="DG7" s="1"/>
      <c r="DH7" s="1"/>
      <c r="DI7" s="1"/>
      <c r="DJ7" s="1"/>
      <c r="DK7" s="1"/>
      <c r="DM7" s="1"/>
      <c r="DN7" s="1"/>
      <c r="DO7" s="1"/>
      <c r="DP7" s="1"/>
      <c r="DQ7" s="1"/>
      <c r="DR7" s="1"/>
      <c r="DS7" s="1"/>
      <c r="DT7" s="1"/>
      <c r="DU7" s="1" t="s">
        <v>538</v>
      </c>
      <c r="DV7" s="322" t="s">
        <v>539</v>
      </c>
      <c r="DW7" s="1"/>
      <c r="DX7" s="1"/>
    </row>
    <row r="8" spans="1:155" ht="18.75" customHeight="1" thickBot="1" x14ac:dyDescent="0.25">
      <c r="B8" s="22" t="s">
        <v>65</v>
      </c>
      <c r="C8" s="47" t="s">
        <v>673</v>
      </c>
      <c r="D8" s="23" t="s">
        <v>69</v>
      </c>
      <c r="E8" s="23" t="s">
        <v>335</v>
      </c>
      <c r="F8" s="54" t="s">
        <v>70</v>
      </c>
      <c r="G8" s="59">
        <v>37228</v>
      </c>
      <c r="H8" s="353"/>
      <c r="I8" s="266">
        <f>IF($AW8=0,"",DATEDIF($AW8,参照データ!$D$16,"Y"))</f>
        <v>24</v>
      </c>
      <c r="J8" s="276"/>
      <c r="K8" s="276"/>
      <c r="L8" s="276"/>
      <c r="M8" s="276"/>
      <c r="N8" s="276"/>
      <c r="O8" s="277"/>
      <c r="P8" s="278"/>
      <c r="Q8" s="278"/>
      <c r="R8" s="279" t="s">
        <v>524</v>
      </c>
      <c r="S8" s="276"/>
      <c r="T8" s="276"/>
      <c r="U8" s="276"/>
      <c r="V8" s="280"/>
      <c r="W8" s="281"/>
      <c r="X8" s="282"/>
      <c r="Y8" s="442" t="s">
        <v>664</v>
      </c>
      <c r="Z8" s="376"/>
      <c r="AA8" s="348"/>
      <c r="AB8" s="363"/>
      <c r="AC8" s="348"/>
      <c r="AD8" s="363"/>
      <c r="AE8" s="348"/>
      <c r="AF8" s="377"/>
      <c r="AG8" s="348"/>
      <c r="AH8" s="372" t="str">
        <f>IF(団体情報・入力の仕方!$C$3="大田区大会","選手権","○")</f>
        <v>○</v>
      </c>
      <c r="AI8" s="348" t="s">
        <v>725</v>
      </c>
      <c r="AJ8" s="378" t="str">
        <f>IF(団体情報・入力の仕方!$C$3="大田区大会","選手権","○")</f>
        <v>○</v>
      </c>
      <c r="AK8" s="365" t="s">
        <v>71</v>
      </c>
      <c r="AL8" s="374" t="s">
        <v>723</v>
      </c>
      <c r="AM8" s="378"/>
      <c r="AN8" s="373"/>
      <c r="AO8" s="438"/>
      <c r="AP8" s="438"/>
      <c r="AQ8" s="375"/>
      <c r="AR8" s="477" t="s">
        <v>678</v>
      </c>
      <c r="AS8" s="469" t="s">
        <v>679</v>
      </c>
      <c r="AT8" s="478" t="s">
        <v>691</v>
      </c>
      <c r="AW8">
        <f t="shared" si="0"/>
        <v>37228</v>
      </c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R8" s="1"/>
      <c r="CS8" s="1"/>
      <c r="CT8" s="1"/>
      <c r="CU8" s="1"/>
      <c r="CV8" s="1"/>
      <c r="CW8" s="1"/>
      <c r="CX8" s="1"/>
      <c r="CY8" s="1"/>
      <c r="CZ8" s="1"/>
      <c r="DB8" s="1"/>
      <c r="DC8" s="1"/>
      <c r="DF8" s="1"/>
      <c r="DG8" s="1"/>
      <c r="DH8" s="1"/>
      <c r="DI8" s="1"/>
      <c r="DJ8" s="1"/>
      <c r="DK8" s="1"/>
      <c r="DM8" s="1"/>
      <c r="DN8" s="1"/>
      <c r="DO8" s="1"/>
      <c r="DP8" s="1"/>
      <c r="DQ8" s="1"/>
      <c r="DR8" s="1"/>
      <c r="DS8" s="1"/>
      <c r="DT8" s="1"/>
      <c r="DU8" s="1" t="s">
        <v>538</v>
      </c>
      <c r="DV8" s="322" t="s">
        <v>540</v>
      </c>
      <c r="DW8" s="1"/>
      <c r="DX8" s="1"/>
      <c r="DY8" s="1"/>
      <c r="DZ8" s="1"/>
      <c r="EA8" s="1"/>
      <c r="EB8" s="1"/>
      <c r="EC8" s="1"/>
      <c r="ED8" s="1"/>
      <c r="EE8"/>
      <c r="EF8"/>
      <c r="EG8"/>
      <c r="EH8"/>
      <c r="EI8"/>
      <c r="EJ8"/>
      <c r="EK8"/>
      <c r="EL8"/>
      <c r="EM8"/>
      <c r="EN8" s="1"/>
      <c r="EO8" s="1"/>
      <c r="EP8" s="1"/>
      <c r="EQ8" s="323"/>
      <c r="ER8" s="1"/>
      <c r="ES8" s="1"/>
      <c r="ET8" s="1"/>
      <c r="EU8" s="1"/>
      <c r="EV8" s="1"/>
      <c r="EW8" s="1"/>
      <c r="EX8" s="1"/>
    </row>
    <row r="9" spans="1:155" ht="18.75" customHeight="1" thickBot="1" x14ac:dyDescent="0.25">
      <c r="B9" s="60" t="s">
        <v>65</v>
      </c>
      <c r="C9" s="61" t="s">
        <v>673</v>
      </c>
      <c r="D9" s="61" t="s">
        <v>72</v>
      </c>
      <c r="E9" s="61" t="s">
        <v>336</v>
      </c>
      <c r="F9" s="326" t="s">
        <v>70</v>
      </c>
      <c r="G9" s="45">
        <v>33288</v>
      </c>
      <c r="H9" s="354"/>
      <c r="I9" s="283">
        <f>IF($AW9=0,"",DATEDIF($AW9,参照データ!$D$16,"Y"))</f>
        <v>35</v>
      </c>
      <c r="J9" s="284"/>
      <c r="K9" s="284"/>
      <c r="L9" s="284"/>
      <c r="M9" s="284" t="s">
        <v>667</v>
      </c>
      <c r="N9" s="284"/>
      <c r="O9" s="285"/>
      <c r="P9" s="286"/>
      <c r="Q9" s="286"/>
      <c r="R9" s="287"/>
      <c r="S9" s="284"/>
      <c r="T9" s="284" t="s">
        <v>529</v>
      </c>
      <c r="U9" s="284"/>
      <c r="V9" s="288" t="s">
        <v>528</v>
      </c>
      <c r="W9" s="289"/>
      <c r="X9" s="290"/>
      <c r="Y9" s="443"/>
      <c r="Z9" s="379"/>
      <c r="AA9" s="349"/>
      <c r="AB9" s="380"/>
      <c r="AC9" s="349"/>
      <c r="AD9" s="380"/>
      <c r="AE9" s="349"/>
      <c r="AF9" s="380" t="str">
        <f>IF(団体情報・入力の仕方!$C$3="大田区大会","選手権","○")</f>
        <v>○</v>
      </c>
      <c r="AG9" s="349" t="s">
        <v>597</v>
      </c>
      <c r="AH9" s="381" t="str">
        <f>IF(団体情報・入力の仕方!$C$3="大田区大会","選手権","○")</f>
        <v>○</v>
      </c>
      <c r="AI9" s="349" t="s">
        <v>597</v>
      </c>
      <c r="AJ9" s="382"/>
      <c r="AK9" s="383"/>
      <c r="AL9" s="384"/>
      <c r="AM9" s="382"/>
      <c r="AN9" s="382"/>
      <c r="AO9" s="444"/>
      <c r="AP9" s="444"/>
      <c r="AQ9" s="385"/>
      <c r="AR9" s="479"/>
      <c r="AS9" s="470" t="s">
        <v>679</v>
      </c>
      <c r="AT9" s="480" t="s">
        <v>692</v>
      </c>
      <c r="AW9">
        <f t="shared" si="0"/>
        <v>33288</v>
      </c>
      <c r="AY9" s="133"/>
      <c r="BB9" s="1"/>
      <c r="BC9" s="674" t="s">
        <v>645</v>
      </c>
      <c r="BD9" s="675"/>
      <c r="BE9" s="675"/>
      <c r="BF9" s="675"/>
      <c r="BG9" s="675"/>
      <c r="BH9" s="676"/>
      <c r="BI9" s="674" t="s">
        <v>456</v>
      </c>
      <c r="BJ9" s="675"/>
      <c r="BK9" s="675"/>
      <c r="BL9" s="675"/>
      <c r="BM9" s="675"/>
      <c r="BN9" s="676"/>
      <c r="BO9" s="220" t="s">
        <v>488</v>
      </c>
      <c r="BP9" s="781" t="s">
        <v>49</v>
      </c>
      <c r="BQ9" s="781"/>
      <c r="BR9" s="781"/>
      <c r="BS9" s="781"/>
      <c r="BT9" s="781"/>
      <c r="BU9" s="781"/>
      <c r="BV9" s="781"/>
      <c r="BW9" s="781"/>
      <c r="BX9" s="781"/>
      <c r="BY9" s="781"/>
      <c r="BZ9" s="782"/>
      <c r="CC9" s="310" t="s">
        <v>325</v>
      </c>
      <c r="CD9" s="311"/>
      <c r="CE9" s="311"/>
      <c r="CF9" s="311"/>
      <c r="CG9" s="311"/>
      <c r="CH9" s="311"/>
      <c r="CI9" s="311"/>
      <c r="CJ9" s="311"/>
      <c r="CK9" s="311"/>
      <c r="CL9" s="311"/>
      <c r="CM9" s="311"/>
      <c r="CN9" s="311"/>
      <c r="CO9" s="311"/>
      <c r="CP9" s="311"/>
      <c r="CQ9" s="311"/>
      <c r="CR9" s="311"/>
      <c r="CS9" s="311"/>
      <c r="CT9" s="311"/>
      <c r="CU9" s="311"/>
      <c r="CV9" s="311"/>
      <c r="CW9" s="311"/>
      <c r="CX9" s="311"/>
      <c r="CY9" s="311"/>
      <c r="CZ9" s="311"/>
      <c r="DA9" s="311"/>
      <c r="DB9" s="311"/>
      <c r="DC9" s="311"/>
      <c r="DF9" s="306" t="s">
        <v>291</v>
      </c>
      <c r="DG9" s="306"/>
      <c r="DH9" s="306"/>
      <c r="DI9" s="306"/>
      <c r="DJ9" s="306"/>
      <c r="DK9" s="306"/>
      <c r="DM9" s="306"/>
      <c r="DN9" s="306"/>
      <c r="DO9" s="306"/>
      <c r="DP9" s="306"/>
      <c r="DQ9" s="306"/>
      <c r="DR9" s="306"/>
      <c r="DS9" s="306"/>
      <c r="DT9" s="306"/>
      <c r="DU9" s="306"/>
      <c r="DV9" s="306"/>
      <c r="DW9" s="306"/>
      <c r="DX9" s="306"/>
      <c r="ES9" s="144" t="s">
        <v>84</v>
      </c>
      <c r="ET9" s="144"/>
      <c r="EV9" s="147" t="s">
        <v>29</v>
      </c>
      <c r="EW9" s="148">
        <f>SUM(ES10:EX10)</f>
        <v>0</v>
      </c>
      <c r="EX9" s="490"/>
    </row>
    <row r="10" spans="1:155" ht="18.75" customHeight="1" thickBot="1" x14ac:dyDescent="0.25">
      <c r="B10" s="668" t="s">
        <v>286</v>
      </c>
      <c r="C10" s="669"/>
      <c r="D10" s="669"/>
      <c r="E10" s="669"/>
      <c r="F10" s="669"/>
      <c r="G10" s="670"/>
      <c r="H10" s="749"/>
      <c r="I10" s="693"/>
      <c r="J10" s="695">
        <f>COUNTIF(J$12:J$71,"○")</f>
        <v>0</v>
      </c>
      <c r="K10" s="695">
        <f>COUNTIF(K$12:K$71,"○")</f>
        <v>0</v>
      </c>
      <c r="L10" s="695">
        <f>COUNTIF(L$12:L$71,"○")</f>
        <v>0</v>
      </c>
      <c r="M10" s="695">
        <f>COUNTIF(M$12:M$71,"○")</f>
        <v>0</v>
      </c>
      <c r="N10" s="291">
        <f t="shared" ref="N10:O10" si="1">COUNTIF(N$12:N$71,"20日")</f>
        <v>0</v>
      </c>
      <c r="O10" s="291">
        <f t="shared" si="1"/>
        <v>0</v>
      </c>
      <c r="P10" s="817">
        <f>COUNTIF($P$12:$P$71,"○")</f>
        <v>0</v>
      </c>
      <c r="Q10" s="817">
        <f>COUNTIF($Q$12:$Q$71,"○")</f>
        <v>0</v>
      </c>
      <c r="R10" s="754">
        <f>COUNTIF(R12:R71,"**")</f>
        <v>0</v>
      </c>
      <c r="S10" s="756">
        <f>COUNTIF(S12:S71,"**")</f>
        <v>0</v>
      </c>
      <c r="T10" s="756">
        <f>COUNTIF(T12:T71,"**")</f>
        <v>0</v>
      </c>
      <c r="U10" s="756">
        <f>COUNTIF(U12:U71,"**")</f>
        <v>0</v>
      </c>
      <c r="V10" s="756">
        <f>COUNTIF(V12:V71,"**")</f>
        <v>0</v>
      </c>
      <c r="W10" s="757">
        <f>COUNTA($W$12:$W$71)/2</f>
        <v>0</v>
      </c>
      <c r="X10" s="758"/>
      <c r="Y10" s="809">
        <f>COUNTIF($Y$12:$Y$72,"○")</f>
        <v>0</v>
      </c>
      <c r="Z10" s="819">
        <f>COUNTIF($Z$12:$Z$71,Z5)</f>
        <v>0</v>
      </c>
      <c r="AA10" s="702"/>
      <c r="AB10" s="701">
        <f>COUNTIF($AB$12:$AB$71,"○")</f>
        <v>0</v>
      </c>
      <c r="AC10" s="702"/>
      <c r="AD10" s="701">
        <f>COUNTIF($AD$12:$AD$71,"○")</f>
        <v>0</v>
      </c>
      <c r="AE10" s="702"/>
      <c r="AF10" s="701">
        <f>COUNTIF($AF$12:$AF$71,"○")</f>
        <v>0</v>
      </c>
      <c r="AG10" s="702"/>
      <c r="AH10" s="701">
        <f>COUNTIF($AH$12:$AH$71,"○")</f>
        <v>0</v>
      </c>
      <c r="AI10" s="702"/>
      <c r="AJ10" s="705">
        <f>COUNTIF($AJ$12:$AJ$71,"○")/2</f>
        <v>0</v>
      </c>
      <c r="AK10" s="706"/>
      <c r="AL10" s="707"/>
      <c r="AM10" s="386">
        <f>COUNTIF($AM$12:$AM$71,"オープン")</f>
        <v>0</v>
      </c>
      <c r="AN10" s="811">
        <f>COUNTIF($AN$12:$AN$71,"オープン")/2</f>
        <v>0</v>
      </c>
      <c r="AO10" s="812"/>
      <c r="AP10" s="445"/>
      <c r="AQ10" s="719"/>
      <c r="AR10" s="711">
        <f>COUNTIF(AR12:AR71,"**")</f>
        <v>0</v>
      </c>
      <c r="AS10" s="713"/>
      <c r="AT10" s="714"/>
      <c r="AW10" s="767" t="s">
        <v>211</v>
      </c>
      <c r="AX10" s="767"/>
      <c r="AY10" s="133"/>
      <c r="BB10" s="1"/>
      <c r="BC10" s="155"/>
      <c r="BD10" s="146"/>
      <c r="BE10" s="146"/>
      <c r="BF10" s="146"/>
      <c r="BG10" s="146"/>
      <c r="BH10" s="156"/>
      <c r="BI10" s="155"/>
      <c r="BJ10" s="146"/>
      <c r="BK10" s="146"/>
      <c r="BL10" s="146"/>
      <c r="BM10" s="146"/>
      <c r="BN10" s="156"/>
      <c r="BO10" s="221"/>
      <c r="BP10" s="699" t="s">
        <v>214</v>
      </c>
      <c r="BQ10" s="697" t="s">
        <v>51</v>
      </c>
      <c r="BR10" s="697" t="s">
        <v>52</v>
      </c>
      <c r="BS10" s="697" t="s">
        <v>218</v>
      </c>
      <c r="BT10" s="697" t="s">
        <v>287</v>
      </c>
      <c r="BU10" s="751" t="s">
        <v>53</v>
      </c>
      <c r="BV10" s="752"/>
      <c r="BW10" s="752"/>
      <c r="BX10" s="752"/>
      <c r="BY10" s="752"/>
      <c r="BZ10" s="753"/>
      <c r="CC10" s="726" t="s">
        <v>16</v>
      </c>
      <c r="CD10" s="727"/>
      <c r="CE10" s="726" t="s">
        <v>19</v>
      </c>
      <c r="CF10" s="727"/>
      <c r="CG10" s="726" t="s">
        <v>30</v>
      </c>
      <c r="CH10" s="727"/>
      <c r="CI10" s="726" t="s">
        <v>20</v>
      </c>
      <c r="CJ10" s="727"/>
      <c r="CK10" s="729" t="s">
        <v>31</v>
      </c>
      <c r="CL10" s="730"/>
      <c r="CM10" s="726" t="s">
        <v>32</v>
      </c>
      <c r="CN10" s="728"/>
      <c r="CO10" s="728"/>
      <c r="CP10" s="728"/>
      <c r="CQ10" s="728"/>
      <c r="CR10" s="728"/>
      <c r="CS10" s="728"/>
      <c r="CT10" s="324"/>
      <c r="CU10" s="679" t="s">
        <v>321</v>
      </c>
      <c r="CV10" s="680"/>
      <c r="CW10" s="793" t="s">
        <v>421</v>
      </c>
      <c r="CX10" s="793"/>
      <c r="CY10" s="793"/>
      <c r="CZ10" s="793"/>
      <c r="DA10" s="793"/>
      <c r="DB10" s="793"/>
      <c r="DC10" s="793"/>
      <c r="DD10" s="731" t="s">
        <v>537</v>
      </c>
      <c r="DE10" s="305" t="s">
        <v>474</v>
      </c>
      <c r="DF10" s="150" t="s">
        <v>16</v>
      </c>
      <c r="DG10" s="151"/>
      <c r="DH10" s="152" t="s">
        <v>19</v>
      </c>
      <c r="DI10" s="151"/>
      <c r="DJ10" s="152" t="s">
        <v>30</v>
      </c>
      <c r="DK10" s="151"/>
      <c r="DM10" s="724" t="s">
        <v>20</v>
      </c>
      <c r="DN10" s="740"/>
      <c r="DO10" s="738" t="s">
        <v>31</v>
      </c>
      <c r="DP10" s="739"/>
      <c r="DQ10" s="724" t="s">
        <v>32</v>
      </c>
      <c r="DR10" s="725"/>
      <c r="DS10" s="725"/>
      <c r="DT10" s="725"/>
      <c r="DU10" s="725"/>
      <c r="DV10" s="725"/>
      <c r="DW10" s="725"/>
      <c r="DX10" s="309"/>
      <c r="DZ10" s="491" t="s">
        <v>680</v>
      </c>
      <c r="EE10" s="18" t="s">
        <v>0</v>
      </c>
      <c r="EN10" s="792">
        <f>SUM(EQ12:EQ71)</f>
        <v>0</v>
      </c>
      <c r="EO10" s="792"/>
      <c r="EP10" s="792"/>
      <c r="EQ10" s="792"/>
      <c r="ES10" s="145">
        <f t="shared" ref="ES10:EX10" si="2">SUM(ES12:ES71)</f>
        <v>0</v>
      </c>
      <c r="ET10" s="145">
        <f t="shared" si="2"/>
        <v>0</v>
      </c>
      <c r="EU10" s="145">
        <f t="shared" si="2"/>
        <v>0</v>
      </c>
      <c r="EV10" s="145">
        <f t="shared" si="2"/>
        <v>0</v>
      </c>
      <c r="EW10" s="145">
        <f t="shared" si="2"/>
        <v>0</v>
      </c>
      <c r="EX10" s="145">
        <f t="shared" si="2"/>
        <v>0</v>
      </c>
    </row>
    <row r="11" spans="1:155" s="24" customFormat="1" ht="18.75" customHeight="1" thickBot="1" x14ac:dyDescent="0.25">
      <c r="B11" s="671"/>
      <c r="C11" s="672"/>
      <c r="D11" s="672"/>
      <c r="E11" s="672"/>
      <c r="F11" s="672"/>
      <c r="G11" s="673"/>
      <c r="H11" s="750"/>
      <c r="I11" s="694"/>
      <c r="J11" s="696"/>
      <c r="K11" s="696"/>
      <c r="L11" s="696"/>
      <c r="M11" s="696"/>
      <c r="N11" s="292"/>
      <c r="O11" s="292"/>
      <c r="P11" s="818"/>
      <c r="Q11" s="818"/>
      <c r="R11" s="755"/>
      <c r="S11" s="696"/>
      <c r="T11" s="696"/>
      <c r="U11" s="696"/>
      <c r="V11" s="696"/>
      <c r="W11" s="759"/>
      <c r="X11" s="760"/>
      <c r="Y11" s="810"/>
      <c r="Z11" s="820"/>
      <c r="AA11" s="704"/>
      <c r="AB11" s="703"/>
      <c r="AC11" s="704"/>
      <c r="AD11" s="703"/>
      <c r="AE11" s="704"/>
      <c r="AF11" s="703"/>
      <c r="AG11" s="704"/>
      <c r="AH11" s="703"/>
      <c r="AI11" s="704"/>
      <c r="AJ11" s="708"/>
      <c r="AK11" s="709"/>
      <c r="AL11" s="710"/>
      <c r="AM11" s="387"/>
      <c r="AN11" s="717"/>
      <c r="AO11" s="718"/>
      <c r="AP11" s="446"/>
      <c r="AQ11" s="720"/>
      <c r="AR11" s="712"/>
      <c r="AS11" s="715"/>
      <c r="AT11" s="716"/>
      <c r="AW11" s="1" t="s">
        <v>471</v>
      </c>
      <c r="AX11" s="1" t="s">
        <v>178</v>
      </c>
      <c r="AY11" s="1"/>
      <c r="AZ11" s="190"/>
      <c r="BA11" s="514" t="s">
        <v>841</v>
      </c>
      <c r="BB11" s="25" t="s">
        <v>77</v>
      </c>
      <c r="BC11" s="155" t="s">
        <v>149</v>
      </c>
      <c r="BD11" s="146" t="s">
        <v>146</v>
      </c>
      <c r="BE11" s="146" t="s">
        <v>147</v>
      </c>
      <c r="BF11" s="146" t="s">
        <v>148</v>
      </c>
      <c r="BG11" s="146" t="s">
        <v>212</v>
      </c>
      <c r="BH11" s="156" t="s">
        <v>213</v>
      </c>
      <c r="BI11" s="155" t="s">
        <v>149</v>
      </c>
      <c r="BJ11" s="146" t="s">
        <v>146</v>
      </c>
      <c r="BK11" s="146" t="s">
        <v>147</v>
      </c>
      <c r="BL11" s="146" t="s">
        <v>148</v>
      </c>
      <c r="BM11" s="146" t="s">
        <v>212</v>
      </c>
      <c r="BN11" s="156" t="s">
        <v>213</v>
      </c>
      <c r="BO11" s="222"/>
      <c r="BP11" s="700"/>
      <c r="BQ11" s="698"/>
      <c r="BR11" s="698"/>
      <c r="BS11" s="698"/>
      <c r="BT11" s="698"/>
      <c r="BU11" s="134" t="s">
        <v>219</v>
      </c>
      <c r="BV11" s="134" t="s">
        <v>220</v>
      </c>
      <c r="BW11" s="62" t="s">
        <v>81</v>
      </c>
      <c r="BX11" s="62" t="s">
        <v>62</v>
      </c>
      <c r="BY11" s="63" t="s">
        <v>82</v>
      </c>
      <c r="BZ11" s="153" t="s">
        <v>83</v>
      </c>
      <c r="CA11"/>
      <c r="CB11" s="189" t="s">
        <v>409</v>
      </c>
      <c r="CC11" s="170" t="s">
        <v>78</v>
      </c>
      <c r="CD11" s="69" t="s">
        <v>79</v>
      </c>
      <c r="CE11" s="68" t="s">
        <v>78</v>
      </c>
      <c r="CF11" s="69" t="s">
        <v>79</v>
      </c>
      <c r="CG11" s="68" t="s">
        <v>78</v>
      </c>
      <c r="CH11" s="69" t="s">
        <v>79</v>
      </c>
      <c r="CI11" s="68" t="s">
        <v>78</v>
      </c>
      <c r="CJ11" s="69" t="s">
        <v>79</v>
      </c>
      <c r="CK11" s="68" t="s">
        <v>78</v>
      </c>
      <c r="CL11" s="69" t="s">
        <v>79</v>
      </c>
      <c r="CM11" s="451" t="s">
        <v>62</v>
      </c>
      <c r="CN11" s="27" t="s">
        <v>480</v>
      </c>
      <c r="CO11" s="69" t="s">
        <v>79</v>
      </c>
      <c r="CP11" s="72" t="s">
        <v>81</v>
      </c>
      <c r="CQ11" s="72" t="s">
        <v>62</v>
      </c>
      <c r="CR11" s="73" t="s">
        <v>77</v>
      </c>
      <c r="CS11" s="74" t="s">
        <v>83</v>
      </c>
      <c r="CT11" s="68" t="s">
        <v>481</v>
      </c>
      <c r="CU11" s="68" t="s">
        <v>319</v>
      </c>
      <c r="CV11" s="171" t="s">
        <v>320</v>
      </c>
      <c r="CW11" s="169" t="s">
        <v>62</v>
      </c>
      <c r="CX11" s="27" t="s">
        <v>78</v>
      </c>
      <c r="CY11" s="157" t="s">
        <v>79</v>
      </c>
      <c r="CZ11" s="158" t="s">
        <v>81</v>
      </c>
      <c r="DA11" s="158" t="s">
        <v>62</v>
      </c>
      <c r="DB11" s="159" t="s">
        <v>82</v>
      </c>
      <c r="DC11" s="160" t="s">
        <v>83</v>
      </c>
      <c r="DD11" s="731"/>
      <c r="DE11" s="189" t="s">
        <v>409</v>
      </c>
      <c r="DF11" s="82" t="s">
        <v>78</v>
      </c>
      <c r="DG11" s="83" t="s">
        <v>79</v>
      </c>
      <c r="DH11" s="82" t="s">
        <v>78</v>
      </c>
      <c r="DI11" s="83" t="s">
        <v>79</v>
      </c>
      <c r="DJ11" s="82" t="s">
        <v>78</v>
      </c>
      <c r="DK11" s="83" t="s">
        <v>79</v>
      </c>
      <c r="DL11" s="189" t="s">
        <v>409</v>
      </c>
      <c r="DM11" s="82" t="s">
        <v>78</v>
      </c>
      <c r="DN11" s="83" t="s">
        <v>79</v>
      </c>
      <c r="DO11" s="82" t="s">
        <v>78</v>
      </c>
      <c r="DP11" s="83" t="s">
        <v>79</v>
      </c>
      <c r="DQ11" s="26" t="s">
        <v>62</v>
      </c>
      <c r="DR11" s="27" t="s">
        <v>480</v>
      </c>
      <c r="DS11" s="83" t="s">
        <v>79</v>
      </c>
      <c r="DT11" s="86" t="s">
        <v>81</v>
      </c>
      <c r="DU11" s="86" t="s">
        <v>62</v>
      </c>
      <c r="DV11" s="87" t="s">
        <v>77</v>
      </c>
      <c r="DW11" s="88" t="s">
        <v>83</v>
      </c>
      <c r="DX11" s="83" t="s">
        <v>482</v>
      </c>
      <c r="DZ11" s="492" t="s">
        <v>681</v>
      </c>
      <c r="EE11" s="28" t="s">
        <v>292</v>
      </c>
      <c r="EF11" s="96" t="s">
        <v>488</v>
      </c>
      <c r="EG11" s="96" t="s">
        <v>293</v>
      </c>
      <c r="EH11" s="96" t="s">
        <v>294</v>
      </c>
      <c r="EI11" s="96" t="s">
        <v>670</v>
      </c>
      <c r="EJ11" s="96" t="s">
        <v>295</v>
      </c>
      <c r="EK11" s="96" t="s">
        <v>323</v>
      </c>
      <c r="EL11" s="96" t="s">
        <v>329</v>
      </c>
      <c r="EM11" s="96" t="s">
        <v>291</v>
      </c>
      <c r="EN11" s="29" t="s">
        <v>296</v>
      </c>
      <c r="EO11" s="29" t="s">
        <v>706</v>
      </c>
      <c r="EP11" s="29" t="s">
        <v>707</v>
      </c>
      <c r="EQ11" s="97" t="s">
        <v>29</v>
      </c>
      <c r="ER11" s="30"/>
      <c r="ES11" s="30" t="s">
        <v>292</v>
      </c>
      <c r="ET11" s="30" t="s">
        <v>488</v>
      </c>
      <c r="EU11" s="30" t="s">
        <v>324</v>
      </c>
      <c r="EV11" s="30" t="s">
        <v>325</v>
      </c>
      <c r="EW11" t="s">
        <v>291</v>
      </c>
      <c r="EX11" s="30" t="s">
        <v>681</v>
      </c>
      <c r="EY11" s="30" t="s">
        <v>326</v>
      </c>
    </row>
    <row r="12" spans="1:155" ht="18.75" customHeight="1" thickTop="1" x14ac:dyDescent="0.2">
      <c r="A12">
        <v>1</v>
      </c>
      <c r="B12" s="44" t="str">
        <f>IF(D12="","",IF(D12="重複","",1))</f>
        <v/>
      </c>
      <c r="C12" s="463"/>
      <c r="D12" s="177"/>
      <c r="E12" s="177"/>
      <c r="F12" s="31"/>
      <c r="G12" s="41"/>
      <c r="H12" s="351">
        <f>EQ12</f>
        <v>0</v>
      </c>
      <c r="I12" s="193" t="str">
        <f>IF($AW12=0,"",DATEDIF($AW12,参照データ!$D$16,"Y"))</f>
        <v/>
      </c>
      <c r="J12" s="517"/>
      <c r="K12" s="517"/>
      <c r="L12" s="517"/>
      <c r="M12" s="517"/>
      <c r="N12" s="517"/>
      <c r="O12" s="518"/>
      <c r="P12" s="345"/>
      <c r="Q12" s="345"/>
      <c r="R12" s="519"/>
      <c r="S12" s="244"/>
      <c r="T12" s="244"/>
      <c r="U12" s="244"/>
      <c r="V12" s="245"/>
      <c r="W12" s="246"/>
      <c r="X12" s="250"/>
      <c r="Y12" s="345"/>
      <c r="Z12" s="388"/>
      <c r="AA12" s="346" t="str">
        <f>IF($Z12="○",VLOOKUP($CB12,参照データ!$D$65:$M$82,9,0),IF($Z12="選手権",VLOOKUP($DE12,参照データ!$D$88:$O$117,10,0),""))</f>
        <v/>
      </c>
      <c r="AB12" s="388"/>
      <c r="AC12" s="346" t="str">
        <f>IF($AB12="○",VLOOKUP($CB12,参照データ!$D$65:$M$82,10,0),IF($AB12="選手権",VLOOKUP($DE12,参照データ!$D$88:$O$117,11,0),""))</f>
        <v/>
      </c>
      <c r="AD12" s="388"/>
      <c r="AE12" s="346" t="str">
        <f>IF($AD12="○",VLOOKUP($CB12,参照データ!$D$65:$M$82,10,0),IF($AD12="選手権",VLOOKUP($DE12,参照データ!$D$88:$O$117,11,0),""))</f>
        <v/>
      </c>
      <c r="AF12" s="388"/>
      <c r="AG12" s="346" t="str">
        <f>IF($AF12="○",VLOOKUP($CB12,参照データ!$D$65:$M$82,10,0),IF($AF12="選手権",VLOOKUP($DL12,参照データ!$D$88:$O$117,12,0),""))</f>
        <v/>
      </c>
      <c r="AH12" s="388"/>
      <c r="AI12" s="346" t="str">
        <f>IF($AH12="○",VLOOKUP($CB12,参照データ!$D$65:$M$82,10,0),IF($AH12="選手権",VLOOKUP($DL12,参照データ!$D$88:$O$117,12,0),""))</f>
        <v/>
      </c>
      <c r="AJ12" s="388"/>
      <c r="AK12" s="510"/>
      <c r="AL12" s="346" t="str">
        <f t="shared" ref="AL12:AL71" si="3">IF($AJ12="○",VLOOKUP($AK12,$CM:$CN,2,0),IF($AJ12="選手権",VLOOKUP($AK12,$DQ:$DR,2,0),""))</f>
        <v/>
      </c>
      <c r="AM12" s="390"/>
      <c r="AN12" s="391"/>
      <c r="AO12" s="391"/>
      <c r="AP12" s="447"/>
      <c r="AQ12" s="321"/>
      <c r="AR12" s="481"/>
      <c r="AS12" s="392"/>
      <c r="AT12" s="482"/>
      <c r="AV12" s="191" t="s">
        <v>669</v>
      </c>
      <c r="AW12">
        <f>VALUE($G12)</f>
        <v>0</v>
      </c>
      <c r="AX12" t="str">
        <f>IF($D12="","",$F12)</f>
        <v/>
      </c>
      <c r="AY12" s="132"/>
      <c r="BA12" s="513" t="str">
        <f>IF(団体情報・入力の仕方!$C$3&lt;&gt;"大田区大会","",IF(AW12=0,"",IF(I12&gt;=18,"○","")))</f>
        <v/>
      </c>
      <c r="BB12" s="53" t="str">
        <f>IF($AW12=0,"",IF(AND($I12&gt;=6,$I12&lt;=19),VLOOKUP($I12,参照データ!$B$24:$C$37,2,0),IF($I12&lt;6,6,19)))</f>
        <v/>
      </c>
      <c r="BC12" s="155" t="str">
        <f>IF($J12="○",VLOOKUP($BB12,参照データ!$C$24:$I$37,2,0),"")</f>
        <v/>
      </c>
      <c r="BD12" s="146" t="str">
        <f>IF($K12="○",VLOOKUP($BB12,参照データ!$C$24:$I$37,3,0),"")</f>
        <v/>
      </c>
      <c r="BE12" s="146" t="str">
        <f>IF($L12="○",VLOOKUP($BB12,参照データ!$C$24:$I$37,4,0),"")</f>
        <v/>
      </c>
      <c r="BF12" s="146" t="str">
        <f>IF($M12="○",VLOOKUP($BB12,参照データ!$C$24:$I$37,5,0),"")</f>
        <v/>
      </c>
      <c r="BG12" s="146" t="str">
        <f>IF($N12="20日",VLOOKUP($BB12,参照データ!$C$24:$I$37,6,0),"")</f>
        <v/>
      </c>
      <c r="BH12" s="156" t="str">
        <f>IF($O12="20日",VLOOKUP($BB12,参照データ!$C$24:$I$37,7,0),"")</f>
        <v/>
      </c>
      <c r="BI12" s="155" t="str">
        <f>IF($J12="21日",VLOOKUP($BB12,参照データ!$C$24:$I$37,2,0),"")</f>
        <v/>
      </c>
      <c r="BJ12" s="146" t="str">
        <f>IF($K12="21日",VLOOKUP($BB12,参照データ!$C$24:$I$37,3,0),"")</f>
        <v/>
      </c>
      <c r="BK12" s="146" t="str">
        <f>IF($L12="21日",VLOOKUP($BB12,参照データ!$C$24:$I$37,4,0),"")</f>
        <v/>
      </c>
      <c r="BL12" s="146" t="str">
        <f>IF($M12="21日",VLOOKUP($BB12,参照データ!$C$24:$I$37,5,0),"")</f>
        <v/>
      </c>
      <c r="BM12" s="146" t="str">
        <f>IF($N12="21日",VLOOKUP($BB12,参照データ!$C$24:$I$37,6,0),"")</f>
        <v/>
      </c>
      <c r="BN12" s="156" t="str">
        <f>IF($O12="21日",VLOOKUP($BB12,参照データ!$C$24:$I$37,7,0),"")</f>
        <v/>
      </c>
      <c r="BO12" s="223" t="str">
        <f>IF($Y12="○",1,"")</f>
        <v/>
      </c>
      <c r="BP12" s="154" t="str">
        <f>IF($R12="入門",VLOOKUP($BB12,参照データ!$C$43:$U$56,2,0),IF($R12="初級",VLOOKUP($BB12,参照データ!$C$43:$U$56,3,0),IF($R12="中級",VLOOKUP($BB12,参照データ!$C$43:$U$56,4,0),IF($R12="上級",VLOOKUP($BB12,参照データ!$C$43:$U$56,5,0),""))))</f>
        <v/>
      </c>
      <c r="BQ12" s="154" t="str">
        <f>IF($S12="初級",VLOOKUP($BB12,参照データ!$C$43:$U$56,6,0),IF($S12="中級",VLOOKUP($BB12,参照データ!$C$43:$U$56,7,0),IF($S12="上級",VLOOKUP($BB12,参照データ!$C$43:$U$56,8,0),"")))</f>
        <v/>
      </c>
      <c r="BR12" s="154" t="str">
        <f>IF($T12="初級",VLOOKUP($BB12,参照データ!$C$43:$U$56,9,0),IF($T12="上級",VLOOKUP($BB12,参照データ!$C$43:$U$56,10,0),""))</f>
        <v/>
      </c>
      <c r="BS12" s="154" t="str">
        <f>IF($U12="初級",VLOOKUP($BB12,参照データ!$C$43:$U$56,11,0),IF($U12="中級",VLOOKUP($BB12,参照データ!$C$43:$U$56,12,0),IF($U12="上級",VLOOKUP($BB12,参照データ!$C$43:$U$56,13,0),"")))</f>
        <v/>
      </c>
      <c r="BT12" s="154" t="str">
        <f>IF($V12="初級",VLOOKUP($BB12,参照データ!$C$43:$U$56,14,0),IF($V12="中級",VLOOKUP($BB12,参照データ!$C$43:$U$56,15,0),IF($V12="上級",VLOOKUP($BB12,参照データ!$C$43:$U$56,16,0),"")))</f>
        <v/>
      </c>
      <c r="BU12" s="47" t="str">
        <f t="shared" ref="BU12:BU71" si="4">IF($X12="","",$X12)</f>
        <v/>
      </c>
      <c r="BV12" s="47" t="str">
        <f>IF($W12="初級",VLOOKUP($BB12,参照データ!$C$43:$U$56,17,0),IF($W12="中級",VLOOKUP($BB12,参照データ!$C$43:$U$56,18,0),IF($W12="上級",VLOOKUP($BB12,参照データ!$C$43:$U$56,19,0),"")))</f>
        <v/>
      </c>
      <c r="BW12" s="692">
        <v>1</v>
      </c>
      <c r="BX12" s="64" t="s">
        <v>71</v>
      </c>
      <c r="BY12" s="136" t="str">
        <f>IF(COUNTIF($BU$12:$BV$71,$BX12)&gt;=1,VLOOKUP($BX12,$BU$12:$BV$71,2,0),"")</f>
        <v/>
      </c>
      <c r="BZ12" s="688" t="str">
        <f>IF(OR($BY12="",$BY13=""),"",IF($BY12&gt;$BY13,$BY12,$BY13))</f>
        <v/>
      </c>
      <c r="CB12" s="53" t="str">
        <f>IF(AND($AW12&gt;=参照データ!$C$67,$AW12&lt;=参照データ!$C$65),1,IF(AND($AW12&gt;=参照データ!$C$70,$AW12&lt;=参照データ!$C$68),2,IF(AND($AW12&gt;=参照データ!$C$73,$AW12&lt;=参照データ!$C$71),3,IF(AND($AW12&gt;=参照データ!$C$76,$AW12&lt;=参照データ!$C$74),4,IF(AND($AW12&gt;=参照データ!$C$79,$AW12&lt;=参照データ!$C$77),5,IF(AND($AW12&gt;0,$AW12&lt;=参照データ!$C$80),6,""))))))</f>
        <v/>
      </c>
      <c r="CC12" s="141" t="str">
        <f>IF($Z12="○",(VLOOKUP($CB12,参照データ!$D$65:$J$82,2,0)),"")</f>
        <v/>
      </c>
      <c r="CD12" s="71" t="str">
        <f>IF($CC12="","","S")</f>
        <v/>
      </c>
      <c r="CE12" s="70" t="str">
        <f>IF($AB12="○",(VLOOKUP($CB12,参照データ!$D$65:$J$82,3,0)),"")</f>
        <v/>
      </c>
      <c r="CF12" s="71" t="str">
        <f>IF($CE12="","","2B")</f>
        <v/>
      </c>
      <c r="CG12" s="70" t="str">
        <f>IF($AD12="○",(VLOOKUP($CB12,参照データ!$D$65:$J$82,4,0)),"")</f>
        <v/>
      </c>
      <c r="CH12" s="71" t="str">
        <f>IF($CG12="","","3B")</f>
        <v/>
      </c>
      <c r="CI12" s="70" t="str">
        <f>IF($AF12="○",(VLOOKUP($CB12,参照データ!$D$65:$J$82,5,0)),"")</f>
        <v/>
      </c>
      <c r="CJ12" s="71" t="str">
        <f t="shared" ref="CJ12:CJ71" si="5">IF($CI12="","","SS")</f>
        <v/>
      </c>
      <c r="CK12" s="70" t="str">
        <f>IF($AH12="○",(VLOOKUP($CB12,参照データ!$D$65:$J$82,6,0)),"")</f>
        <v/>
      </c>
      <c r="CL12" s="71" t="str">
        <f>IF($CK12="","","D")</f>
        <v/>
      </c>
      <c r="CM12" s="33" t="str">
        <f>IF($AJ12="○",$AK12,"")</f>
        <v/>
      </c>
      <c r="CN12" s="32" t="str">
        <f>IFERROR(VLOOKUP($CM12,$CQ:$CT,4,0),"")</f>
        <v/>
      </c>
      <c r="CO12" s="71" t="str">
        <f>IF($CN12="","","P")</f>
        <v/>
      </c>
      <c r="CP12" s="690">
        <v>1</v>
      </c>
      <c r="CQ12" s="75" t="s">
        <v>71</v>
      </c>
      <c r="CR12" s="76" t="str">
        <f>IFERROR(INDEX($CB:$CB,MATCH($CQ12,$CM:$CM,0)),"")</f>
        <v/>
      </c>
      <c r="CS12" s="691" t="e">
        <f>IF($CR12&gt;$CR13,VLOOKUP($CR12,参照データ!$D$65:$J$82,7,0),VLOOKUP($CR13,参照データ!$D$65:$J$82,7,0))</f>
        <v>#N/A</v>
      </c>
      <c r="CT12" s="308" t="str">
        <f>IFERROR(VLOOKUP($CS12,参照データ!$J$65:$M$82,4,0),"")</f>
        <v/>
      </c>
      <c r="CU12" s="70"/>
      <c r="CV12" s="172" t="str">
        <f>IF(CU12="","","AT")</f>
        <v/>
      </c>
      <c r="CX12" s="32"/>
      <c r="CY12" s="161" t="str">
        <f>IF(CX12="","","P")</f>
        <v/>
      </c>
      <c r="CZ12" s="794">
        <v>1</v>
      </c>
      <c r="DA12" s="162" t="s">
        <v>71</v>
      </c>
      <c r="DB12" s="163" t="str">
        <f>IF(COUNTIF($CW$12:$CW$71,DA12)&gt;=1,VLOOKUP(DA12,$CW$12:$CX$71,2,0),"")</f>
        <v/>
      </c>
      <c r="DC12" s="795" t="str">
        <f>IF(OR(DB12="",DB13=""),"",IF(DB12&gt;DB13,DB12,DB13))</f>
        <v/>
      </c>
      <c r="DD12" t="str">
        <f>IF($DE12="","",DATEDIF($AW12,参照データ!$D$19,"Y"))</f>
        <v/>
      </c>
      <c r="DE12" s="253" t="str">
        <f>IFERROR(IF($AX12="男子",VLOOKUP($DL12,参照データ!$D$88:$E$117,2,0),$DL12),0)</f>
        <v/>
      </c>
      <c r="DF12" s="84" t="str">
        <f>IF($Z12="選手権",(VLOOKUP($DE12,参照データ!$D$88:$K$117,3,0)),"")</f>
        <v/>
      </c>
      <c r="DG12" s="85" t="str">
        <f t="shared" ref="DG12:DG71" si="6">IF($DF12="","",IF($F12="","S","MS"))</f>
        <v/>
      </c>
      <c r="DH12" s="84" t="str">
        <f>IF($AB12="選手権",(VLOOKUP($DE12,参照データ!$D$88:$K$117,4,0)),"")</f>
        <v/>
      </c>
      <c r="DI12" s="85" t="str">
        <f t="shared" ref="DI12:DI71" si="7">IF($DH12="","",IF($F12="","2B","M2B"))</f>
        <v/>
      </c>
      <c r="DJ12" s="84" t="str">
        <f>IF($AD12="選手権",(VLOOKUP($DE12,参照データ!$D$88:$K$117,5,0)),"")</f>
        <v/>
      </c>
      <c r="DK12" s="85" t="str">
        <f t="shared" ref="DK12:DK71" si="8">IF($DJ12="","",IF($F12="","3B","M3B"))</f>
        <v/>
      </c>
      <c r="DL12" s="53" t="str">
        <f>IF(AND($AW12&gt;=参照データ!$C$90,$AW12&lt;=参照データ!$C$88),1,IF(AND($AW12&gt;=参照データ!$C$93,$AW12&lt;=参照データ!$C$91),2,IF(AND($AW12&gt;=参照データ!$C$99,$AW12&lt;=参照データ!$C$97),3,IF(AND($AW12&gt;=参照データ!$C$105,$AW12&lt;=参照データ!$C$103),4,IF(AND($AW12&gt;=参照データ!$C$111,$AW12&lt;=参照データ!$C$109),5,IF(AND($AW12&gt;0,$AW12&lt;=参照データ!$C$112),6,""))))))</f>
        <v/>
      </c>
      <c r="DM12" s="84" t="str">
        <f>IF($AF12="選手権",(VLOOKUP($DL12,参照データ!$D$88:$K$117,6,0)),"")</f>
        <v/>
      </c>
      <c r="DN12" s="85" t="str">
        <f t="shared" ref="DN12:DN71" si="9">IF($DM12="","","SS")</f>
        <v/>
      </c>
      <c r="DO12" s="84" t="str">
        <f>IF($AH12="選手権",(VLOOKUP($DL12,参照データ!$D$88:$K$117,7,0)),"")</f>
        <v/>
      </c>
      <c r="DP12" s="85" t="str">
        <f>IF($DO12="","","D")</f>
        <v/>
      </c>
      <c r="DQ12" s="33" t="str">
        <f>IF($AJ12="選手権",$AK12,"")</f>
        <v/>
      </c>
      <c r="DR12" s="32" t="str">
        <f>IFERROR(VLOOKUP($DQ12,$DU:$DX,4,0),"")</f>
        <v/>
      </c>
      <c r="DS12" s="85" t="str">
        <f>IF($DR12="","","P")</f>
        <v/>
      </c>
      <c r="DT12" s="732">
        <v>1</v>
      </c>
      <c r="DU12" s="89" t="s">
        <v>71</v>
      </c>
      <c r="DV12" s="90" t="str">
        <f>IFERROR(INDEX($DL:$DL,MATCH($DU12,$DQ:$DQ,0)),"")</f>
        <v/>
      </c>
      <c r="DW12" s="734" t="e">
        <f>IF($DV12&gt;$DV13,VLOOKUP($DV12,参照データ!$D$88:$K$117,8,0),VLOOKUP($DV13,参照データ!$D$88:$K$117,8,0))</f>
        <v>#N/A</v>
      </c>
      <c r="DX12" s="312" t="str">
        <f>IFERROR(VLOOKUP($DW12,参照データ!$K$88:$O$117,5,0),"")</f>
        <v/>
      </c>
      <c r="DZ12" s="491" t="str">
        <f>IF($AR12="","",$AR12)</f>
        <v/>
      </c>
      <c r="EE12" s="34">
        <f>(COUNTIF($J12:$O12,"&lt;&gt;"))*参照データ!$E$3</f>
        <v>0</v>
      </c>
      <c r="EF12" s="219" t="str">
        <f>IF($Y12="○",参照データ!$E$4,"")</f>
        <v/>
      </c>
      <c r="EG12" s="18">
        <f>(SUM(COUNTIF($R12:$V12,{"入門","初級"}))*参照データ!$E$9)+(SUM(COUNTIF($R12:$V12,{"中級","上級"})*参照データ!$E$10))</f>
        <v>0</v>
      </c>
      <c r="EH12" s="18">
        <f>IFERROR(VLOOKUP($W12,参照データ!$D$9:$J$11,7,0),0)</f>
        <v>0</v>
      </c>
      <c r="EI12" s="18">
        <f>((COUNTIF($Z12:$AH12,"○"))*参照データ!$E$12)</f>
        <v>0</v>
      </c>
      <c r="EJ12" s="18" t="str">
        <f>(IF($AJ12="○",参照データ!$J$12,""))</f>
        <v/>
      </c>
      <c r="EM12" s="18">
        <f>((COUNTIF($Z12:$AH12,"選手権"))*参照データ!$E$13)</f>
        <v>0</v>
      </c>
      <c r="EN12" s="18" t="str">
        <f>(IF($AJ12="選手権",参照データ!$J$13,""))</f>
        <v/>
      </c>
      <c r="EO12" s="489">
        <f>(COUNTIF($AQ12:$AR12,"&lt;&gt;"))*参照データ!$H$3</f>
        <v>0</v>
      </c>
      <c r="EP12" s="18"/>
      <c r="EQ12" s="98">
        <f t="array" ref="EQ12">SUM(IF(ISERROR(EE12:EN12),0,(EE12:EN12)))</f>
        <v>0</v>
      </c>
      <c r="ER12" s="18"/>
      <c r="ES12" s="18">
        <f t="shared" ref="ES12:ES71" si="10">COUNTA($J12:$O12)</f>
        <v>0</v>
      </c>
      <c r="ET12" s="18">
        <f>COUNTA($Y12)</f>
        <v>0</v>
      </c>
      <c r="EU12" s="18">
        <f>COUNTA($R12:$W12)</f>
        <v>0</v>
      </c>
      <c r="EV12" s="18">
        <f>COUNTIF($Z12:$AN12,"○")</f>
        <v>0</v>
      </c>
      <c r="EW12" s="18">
        <f>COUNTIF($Z12:$AJ12,"選手権")</f>
        <v>0</v>
      </c>
      <c r="EX12" s="18">
        <f>COUNTA($AR12:$AS12)</f>
        <v>0</v>
      </c>
      <c r="EY12" t="str">
        <f>IF($EW12&gt;=2,$DG12&amp;$DI12&amp;$DK12&amp;$DS12&amp;$DP12&amp;$DN12,"")</f>
        <v/>
      </c>
    </row>
    <row r="13" spans="1:155" ht="18.75" customHeight="1" x14ac:dyDescent="0.2">
      <c r="A13">
        <v>2</v>
      </c>
      <c r="B13" s="14" t="str">
        <f>IF(D13="","",IF(D13="重複","",COUNTIF(B$12:$B12,"&gt;0")+1))</f>
        <v/>
      </c>
      <c r="C13" s="464"/>
      <c r="D13" s="177"/>
      <c r="E13" s="177"/>
      <c r="F13" s="31"/>
      <c r="G13" s="41"/>
      <c r="H13" s="351">
        <f>EQ13</f>
        <v>0</v>
      </c>
      <c r="I13" s="193" t="str">
        <f>IF($AW13=0,"",DATEDIF($AW13,参照データ!$D$16,"Y"))</f>
        <v/>
      </c>
      <c r="J13" s="517"/>
      <c r="K13" s="517"/>
      <c r="L13" s="517"/>
      <c r="M13" s="517"/>
      <c r="N13" s="517"/>
      <c r="O13" s="518"/>
      <c r="P13" s="345"/>
      <c r="Q13" s="345"/>
      <c r="R13" s="519"/>
      <c r="S13" s="244"/>
      <c r="T13" s="244"/>
      <c r="U13" s="244"/>
      <c r="V13" s="245"/>
      <c r="W13" s="247"/>
      <c r="X13" s="250"/>
      <c r="Y13" s="345"/>
      <c r="Z13" s="388"/>
      <c r="AA13" s="346" t="str">
        <f>IF($Z13="○",VLOOKUP($CB13,参照データ!$D$65:$M$82,9,0),IF($Z13="選手権",VLOOKUP($DE13,参照データ!$D$88:$O$117,10,0),""))</f>
        <v/>
      </c>
      <c r="AB13" s="388"/>
      <c r="AC13" s="346" t="str">
        <f>IF($AB13="○",VLOOKUP($CB13,参照データ!$D$65:$M$82,10,0),IF($AB13="選手権",VLOOKUP($DE13,参照データ!$D$88:$O$117,11,0),""))</f>
        <v/>
      </c>
      <c r="AD13" s="388"/>
      <c r="AE13" s="346" t="str">
        <f>IF($AD13="○",VLOOKUP($CB13,参照データ!$D$65:$M$82,10,0),IF($AD13="選手権",VLOOKUP($DE13,参照データ!$D$88:$O$117,11,0),""))</f>
        <v/>
      </c>
      <c r="AF13" s="388"/>
      <c r="AG13" s="346" t="str">
        <f>IF($AF13="○",VLOOKUP($CB13,参照データ!$D$65:$M$82,10,0),IF($AF13="選手権",VLOOKUP($DL13,参照データ!$D$88:$O$117,12,0),""))</f>
        <v/>
      </c>
      <c r="AH13" s="388"/>
      <c r="AI13" s="346" t="str">
        <f>IF($AH13="○",VLOOKUP($CB13,参照データ!$D$65:$M$82,10,0),IF($AH13="選手権",VLOOKUP($DL13,参照データ!$D$88:$O$117,12,0),""))</f>
        <v/>
      </c>
      <c r="AJ13" s="388"/>
      <c r="AK13" s="511"/>
      <c r="AL13" s="346" t="str">
        <f t="shared" si="3"/>
        <v/>
      </c>
      <c r="AM13" s="392"/>
      <c r="AN13" s="391"/>
      <c r="AO13" s="391"/>
      <c r="AP13" s="447"/>
      <c r="AQ13" s="321"/>
      <c r="AR13" s="481"/>
      <c r="AS13" s="393"/>
      <c r="AT13" s="483"/>
      <c r="AV13" s="1"/>
      <c r="AW13">
        <f>IF($D13="重複",VALUE($G12),VALUE($G13))</f>
        <v>0</v>
      </c>
      <c r="AX13" t="str">
        <f>IF($D13="","",IF($D13="重複",$F12,$F13))</f>
        <v/>
      </c>
      <c r="AY13" s="132"/>
      <c r="BA13" s="513" t="str">
        <f>IF(団体情報・入力の仕方!$C$3&lt;&gt;"大田区大会","",IF(AW13=0,"",IF(I13&gt;=18,"○","")))</f>
        <v/>
      </c>
      <c r="BB13" s="53" t="str">
        <f>IF($AW13=0,"",IF(AND($I13&gt;=6,$I13&lt;=19),VLOOKUP($I13,参照データ!$B$24:$C$37,2,0),IF($I13&lt;6,6,19)))</f>
        <v/>
      </c>
      <c r="BC13" s="155" t="str">
        <f>IF($J13="○",VLOOKUP($BB13,参照データ!$C$24:$I$37,2,0),"")</f>
        <v/>
      </c>
      <c r="BD13" s="146" t="str">
        <f>IF($K13="○",VLOOKUP($BB13,参照データ!$C$24:$I$37,3,0),"")</f>
        <v/>
      </c>
      <c r="BE13" s="146" t="str">
        <f>IF($L13="○",VLOOKUP($BB13,参照データ!$C$24:$I$37,4,0),"")</f>
        <v/>
      </c>
      <c r="BF13" s="146" t="str">
        <f>IF($M13="○",VLOOKUP($BB13,参照データ!$C$24:$I$37,5,0),"")</f>
        <v/>
      </c>
      <c r="BG13" s="146" t="str">
        <f>IF($N13="20日",VLOOKUP($BB13,参照データ!$C$24:$I$37,6,0),"")</f>
        <v/>
      </c>
      <c r="BH13" s="156" t="str">
        <f>IF($O13="20日",VLOOKUP($BB13,参照データ!$C$24:$I$37,7,0),"")</f>
        <v/>
      </c>
      <c r="BI13" s="155" t="str">
        <f>IF($J13="21日",VLOOKUP($BB13,参照データ!$C$24:$I$37,2,0),"")</f>
        <v/>
      </c>
      <c r="BJ13" s="146" t="str">
        <f>IF($K13="21日",VLOOKUP($BB13,参照データ!$C$24:$I$37,3,0),"")</f>
        <v/>
      </c>
      <c r="BK13" s="146" t="str">
        <f>IF($L13="21日",VLOOKUP($BB13,参照データ!$C$24:$I$37,4,0),"")</f>
        <v/>
      </c>
      <c r="BL13" s="146" t="str">
        <f>IF($M13="21日",VLOOKUP($BB13,参照データ!$C$24:$I$37,5,0),"")</f>
        <v/>
      </c>
      <c r="BM13" s="146" t="str">
        <f>IF($N13="21日",VLOOKUP($BB13,参照データ!$C$24:$I$37,6,0),"")</f>
        <v/>
      </c>
      <c r="BN13" s="156" t="str">
        <f>IF($O13="21日",VLOOKUP($BB13,参照データ!$C$24:$I$37,7,0),"")</f>
        <v/>
      </c>
      <c r="BO13" s="223" t="str">
        <f>IF($Y13="○",1,"")</f>
        <v/>
      </c>
      <c r="BP13" s="154" t="str">
        <f>IF($R13="入門",VLOOKUP($BB13,参照データ!$C$43:$U$56,2,0),IF($R13="初級",VLOOKUP($BB13,参照データ!$C$43:$U$56,3,0),IF($R13="中級",VLOOKUP($BB13,参照データ!$C$43:$U$56,4,0),IF($R13="上級",VLOOKUP($BB13,参照データ!$C$43:$U$56,5,0),""))))</f>
        <v/>
      </c>
      <c r="BQ13" s="154" t="str">
        <f>IF($S13="初級",VLOOKUP($BB13,参照データ!$C$43:$U$56,6,0),IF($S13="中級",VLOOKUP($BB13,参照データ!$C$43:$U$56,7,0),IF($S13="上級",VLOOKUP($BB13,参照データ!$C$43:$U$56,8,0),"")))</f>
        <v/>
      </c>
      <c r="BR13" s="154" t="str">
        <f>IF($T13="初級",VLOOKUP($BB13,参照データ!$C$43:$U$56,9,0),IF($T13="上級",VLOOKUP($BB13,参照データ!$C$43:$U$56,10,0),""))</f>
        <v/>
      </c>
      <c r="BS13" s="154" t="str">
        <f>IF($U13="初級",VLOOKUP($BB13,参照データ!$C$43:$U$56,11,0),IF($U13="中級",VLOOKUP($BB13,参照データ!$C$43:$U$56,12,0),IF($U13="上級",VLOOKUP($BB13,参照データ!$C$43:$U$56,13,0),"")))</f>
        <v/>
      </c>
      <c r="BT13" s="154" t="str">
        <f>IF($V13="初級",VLOOKUP($BB13,参照データ!$C$43:$U$56,14,0),IF($V13="中級",VLOOKUP($BB13,参照データ!$C$43:$U$56,15,0),IF($V13="上級",VLOOKUP($BB13,参照データ!$C$43:$U$56,16,0),"")))</f>
        <v/>
      </c>
      <c r="BU13" s="47" t="str">
        <f t="shared" si="4"/>
        <v/>
      </c>
      <c r="BV13" s="47" t="str">
        <f>IF($W13="初級",VLOOKUP($BB13,参照データ!$C$43:$U$56,17,0),IF($W13="中級",VLOOKUP($BB13,参照データ!$C$43:$U$56,18,0),IF($W13="上級",VLOOKUP($BB13,参照データ!$C$43:$U$56,19,0),"")))</f>
        <v/>
      </c>
      <c r="BW13" s="687"/>
      <c r="BX13" s="65" t="s">
        <v>73</v>
      </c>
      <c r="BY13" s="135" t="str">
        <f t="shared" ref="BY13:BY71" si="11">IF(COUNTIF($BU$12:$BV$71,$BX13)&gt;=1,VLOOKUP($BX13,$BU$12:$BV$71,2,0),"")</f>
        <v/>
      </c>
      <c r="BZ13" s="689"/>
      <c r="CB13" s="53" t="str">
        <f>IF(AND($AW13&gt;=参照データ!$C$67,$AW13&lt;=参照データ!$C$65),1,IF(AND($AW13&gt;=参照データ!$C$70,$AW13&lt;=参照データ!$C$68),2,IF(AND($AW13&gt;=参照データ!$C$73,$AW13&lt;=参照データ!$C$71),3,IF(AND($AW13&gt;=参照データ!$C$76,$AW13&lt;=参照データ!$C$74),4,IF(AND($AW13&gt;=参照データ!$C$79,$AW13&lt;=参照データ!$C$77),5,IF(AND($AW13&gt;0,$AW13&lt;=参照データ!$C$80),6,""))))))</f>
        <v/>
      </c>
      <c r="CC13" s="141" t="str">
        <f>IF($Z13="○",(VLOOKUP($CB13,参照データ!$D$65:$J$82,2,0)),"")</f>
        <v/>
      </c>
      <c r="CD13" s="71" t="str">
        <f t="shared" ref="CD13:CD71" si="12">IF($CC13="","","S")</f>
        <v/>
      </c>
      <c r="CE13" s="70" t="str">
        <f>IF($AB13="○",(VLOOKUP($CB13,参照データ!$D$65:$J$82,3,0)),"")</f>
        <v/>
      </c>
      <c r="CF13" s="71" t="str">
        <f t="shared" ref="CF13:CF71" si="13">IF($CE13="","","2B")</f>
        <v/>
      </c>
      <c r="CG13" s="70" t="str">
        <f>IF($AD13="○",(VLOOKUP($CB13,参照データ!$D$65:$J$82,4,0)),"")</f>
        <v/>
      </c>
      <c r="CH13" s="71" t="str">
        <f t="shared" ref="CH13:CH71" si="14">IF($CG13="","","3B")</f>
        <v/>
      </c>
      <c r="CI13" s="70" t="str">
        <f>IF($AF13="○",(VLOOKUP($CB13,参照データ!$D$65:$J$82,5,0)),"")</f>
        <v/>
      </c>
      <c r="CJ13" s="71" t="str">
        <f t="shared" si="5"/>
        <v/>
      </c>
      <c r="CK13" s="70" t="str">
        <f>IF($AH13="○",(VLOOKUP($CB13,参照データ!$D$65:$J$82,6,0)),"")</f>
        <v/>
      </c>
      <c r="CL13" s="71" t="str">
        <f t="shared" ref="CL13:CL71" si="15">IF($CK13="","","D")</f>
        <v/>
      </c>
      <c r="CM13" s="33" t="str">
        <f t="shared" ref="CM13:CM71" si="16">IF($AJ13="○",$AK13,"")</f>
        <v/>
      </c>
      <c r="CN13" s="32" t="str">
        <f t="shared" ref="CN13:CN71" si="17">IFERROR(VLOOKUP($CM13,$CQ:$CT,4,0),"")</f>
        <v/>
      </c>
      <c r="CO13" s="71" t="str">
        <f t="shared" ref="CO13:CO71" si="18">IF($CN13="","","P")</f>
        <v/>
      </c>
      <c r="CP13" s="682"/>
      <c r="CQ13" s="77" t="s">
        <v>73</v>
      </c>
      <c r="CR13" s="78" t="str">
        <f t="shared" ref="CR13:CR71" si="19">IFERROR(INDEX($CB:$CB,MATCH($CQ13,$CM:$CM,0)),"")</f>
        <v/>
      </c>
      <c r="CS13" s="684"/>
      <c r="CT13" s="308" t="str">
        <f>$CT12</f>
        <v/>
      </c>
      <c r="CU13" s="70"/>
      <c r="CV13" s="172" t="str">
        <f t="shared" ref="CV13:CV71" si="20">IF(CU13="","","AT")</f>
        <v/>
      </c>
      <c r="CX13" s="32"/>
      <c r="CY13" s="161" t="str">
        <f t="shared" ref="CY13:CY71" si="21">IF(CX13="","","P")</f>
        <v/>
      </c>
      <c r="CZ13" s="744"/>
      <c r="DA13" s="164" t="s">
        <v>73</v>
      </c>
      <c r="DB13" s="165" t="str">
        <f>IF(COUNTIF($CW$12:$CW$71,DA13)&gt;=1,VLOOKUP(DA13,$CW$12:$CX$71,2,0),"")</f>
        <v/>
      </c>
      <c r="DC13" s="742"/>
      <c r="DD13" t="str">
        <f>IF($DE13="","",DATEDIF($AW13,参照データ!$D$19,"Y"))</f>
        <v/>
      </c>
      <c r="DE13" s="253" t="str">
        <f>IFERROR(IF($AX13="男子",VLOOKUP($DL13,参照データ!$D$88:$E$117,2,0),$DL13),0)</f>
        <v/>
      </c>
      <c r="DF13" s="84" t="str">
        <f>IF($Z13="選手権",(VLOOKUP($DE13,参照データ!$D$88:$K$117,3,0)),"")</f>
        <v/>
      </c>
      <c r="DG13" s="85" t="str">
        <f t="shared" si="6"/>
        <v/>
      </c>
      <c r="DH13" s="84" t="str">
        <f>IF($AB13="選手権",(VLOOKUP($DE13,参照データ!$D$88:$K$117,4,0)),"")</f>
        <v/>
      </c>
      <c r="DI13" s="85" t="str">
        <f t="shared" si="7"/>
        <v/>
      </c>
      <c r="DJ13" s="84" t="str">
        <f>IF($AD13="選手権",(VLOOKUP($DE13,参照データ!$D$88:$K$117,5,0)),"")</f>
        <v/>
      </c>
      <c r="DK13" s="85" t="str">
        <f t="shared" si="8"/>
        <v/>
      </c>
      <c r="DL13" s="53" t="str">
        <f>IF(AND($AW13&gt;=参照データ!$C$90,$AW13&lt;=参照データ!$C$88),1,IF(AND($AW13&gt;=参照データ!$C$93,$AW13&lt;=参照データ!$C$91),2,IF(AND($AW13&gt;=参照データ!$C$99,$AW13&lt;=参照データ!$C$97),3,IF(AND($AW13&gt;=参照データ!$C$105,$AW13&lt;=参照データ!$C$103),4,IF(AND($AW13&gt;=参照データ!$C$111,$AW13&lt;=参照データ!$C$109),5,IF(AND($AW13&gt;0,$AW13&lt;=参照データ!$C$112),6,""))))))</f>
        <v/>
      </c>
      <c r="DM13" s="84" t="str">
        <f>IF($AF13="選手権",(VLOOKUP($DL13,参照データ!$D$88:$K$117,6,0)),"")</f>
        <v/>
      </c>
      <c r="DN13" s="85" t="str">
        <f t="shared" si="9"/>
        <v/>
      </c>
      <c r="DO13" s="84" t="str">
        <f>IF($AH13="選手権",(VLOOKUP($DL13,参照データ!$D$88:$K$117,7,0)),"")</f>
        <v/>
      </c>
      <c r="DP13" s="85" t="str">
        <f t="shared" ref="DP13:DP71" si="22">IF($DO13="","","D")</f>
        <v/>
      </c>
      <c r="DQ13" s="33" t="str">
        <f t="shared" ref="DQ13:DQ71" si="23">IF($AJ13="選手権",$AK13,"")</f>
        <v/>
      </c>
      <c r="DR13" s="32" t="str">
        <f t="shared" ref="DR13:DR71" si="24">IFERROR(VLOOKUP($DQ13,$DU:$DX,4,0),"")</f>
        <v/>
      </c>
      <c r="DS13" s="85" t="str">
        <f t="shared" ref="DS13:DS71" si="25">IF($DR13="","","P")</f>
        <v/>
      </c>
      <c r="DT13" s="733"/>
      <c r="DU13" s="91" t="s">
        <v>73</v>
      </c>
      <c r="DV13" s="92" t="str">
        <f>IFERROR(INDEX($DL:$DL,MATCH($DU13,$DQ:$DQ,0)),"")</f>
        <v/>
      </c>
      <c r="DW13" s="735"/>
      <c r="DX13" s="312" t="str">
        <f>$DX12</f>
        <v/>
      </c>
      <c r="DZ13" s="491" t="str">
        <f t="shared" ref="DZ13:DZ71" si="26">IF($AR13="","",$AR13)</f>
        <v/>
      </c>
      <c r="EE13" s="35">
        <f>(COUNTIF($J13:$O13,"&lt;&gt;"))*参照データ!$E$3</f>
        <v>0</v>
      </c>
      <c r="EF13" s="219" t="str">
        <f>IF($Y13="○",参照データ!$E$4,"")</f>
        <v/>
      </c>
      <c r="EG13" s="18">
        <f>(SUM(COUNTIF($R13:$V13,{"入門","初級"}))*参照データ!$E$9)+(SUM(COUNTIF($R13:$V13,{"中級","上級"})*参照データ!$E$10))</f>
        <v>0</v>
      </c>
      <c r="EH13" s="18">
        <f>IFERROR(VLOOKUP($W13,参照データ!$D$9:$J$11,7,0),0)</f>
        <v>0</v>
      </c>
      <c r="EI13" s="18">
        <f>((COUNTIF($Z13:$AH13,"○"))*参照データ!$E$12)</f>
        <v>0</v>
      </c>
      <c r="EJ13" s="18" t="str">
        <f>(IF($AJ13="○",参照データ!$J$12,""))</f>
        <v/>
      </c>
      <c r="EM13" s="18">
        <f>((COUNTIF($Z13:$AH13,"選手権"))*参照データ!$E$13)</f>
        <v>0</v>
      </c>
      <c r="EN13" s="18" t="str">
        <f>(IF($AJ13="選手権",参照データ!$J$13,""))</f>
        <v/>
      </c>
      <c r="EO13" s="18">
        <f>(COUNTIF($AQ13:$AR13,"&lt;&gt;"))*参照データ!$H$3</f>
        <v>0</v>
      </c>
      <c r="EP13" s="18"/>
      <c r="EQ13" s="98">
        <f t="array" ref="EQ13">SUM(IF(ISERROR(EE13:EN13),0,(EE13:EN13)))</f>
        <v>0</v>
      </c>
      <c r="ER13" s="18"/>
      <c r="ES13" s="18">
        <f t="shared" si="10"/>
        <v>0</v>
      </c>
      <c r="ET13" s="18">
        <f>COUNTA($Y13)</f>
        <v>0</v>
      </c>
      <c r="EU13" s="18">
        <f t="shared" ref="EU13:EU71" si="27">COUNTA($R13:$W13)</f>
        <v>0</v>
      </c>
      <c r="EV13" s="18">
        <f t="shared" ref="EV13:EV60" si="28">COUNTIF($Z13:$AN13,"○")</f>
        <v>0</v>
      </c>
      <c r="EW13" s="18">
        <f t="shared" ref="EW13:EW71" si="29">COUNTIF($Z13:$AJ13,"選手権")</f>
        <v>0</v>
      </c>
      <c r="EX13" s="18">
        <f t="shared" ref="EX13:EX71" si="30">COUNTA($AR13:$AS13)</f>
        <v>0</v>
      </c>
      <c r="EY13" t="str">
        <f t="shared" ref="EY13:EY71" si="31">IF($EW13&gt;=2,$DG13&amp;$DI13&amp;$DK13&amp;$DS13&amp;$DP13&amp;$DN13,"")</f>
        <v/>
      </c>
    </row>
    <row r="14" spans="1:155" ht="18.75" customHeight="1" x14ac:dyDescent="0.2">
      <c r="A14">
        <v>3</v>
      </c>
      <c r="B14" s="14" t="str">
        <f>IF(D14="","",IF(D14="重複","",COUNTIF(B$12:$B13,"&gt;0")+1))</f>
        <v/>
      </c>
      <c r="C14" s="464"/>
      <c r="D14" s="177"/>
      <c r="E14" s="177"/>
      <c r="F14" s="31"/>
      <c r="G14" s="41"/>
      <c r="H14" s="351">
        <f t="shared" ref="H14:H71" si="32">EQ14</f>
        <v>0</v>
      </c>
      <c r="I14" s="193" t="str">
        <f>IF($AW14=0,"",DATEDIF($AW14,参照データ!$D$16,"Y"))</f>
        <v/>
      </c>
      <c r="J14" s="517"/>
      <c r="K14" s="517"/>
      <c r="L14" s="517"/>
      <c r="M14" s="517"/>
      <c r="N14" s="517"/>
      <c r="O14" s="518"/>
      <c r="P14" s="345"/>
      <c r="Q14" s="345"/>
      <c r="R14" s="519"/>
      <c r="S14" s="244"/>
      <c r="T14" s="244"/>
      <c r="U14" s="244"/>
      <c r="V14" s="245"/>
      <c r="W14" s="247"/>
      <c r="X14" s="250"/>
      <c r="Y14" s="345"/>
      <c r="Z14" s="388"/>
      <c r="AA14" s="346" t="str">
        <f>IF($Z14="○",VLOOKUP($CB14,参照データ!$D$65:$M$82,9,0),IF($Z14="選手権",VLOOKUP($DE14,参照データ!$D$88:$O$117,10,0),""))</f>
        <v/>
      </c>
      <c r="AB14" s="388"/>
      <c r="AC14" s="346" t="str">
        <f>IF($AB14="○",VLOOKUP($CB14,参照データ!$D$65:$M$82,10,0),IF($AB14="選手権",VLOOKUP($DE14,参照データ!$D$88:$O$117,11,0),""))</f>
        <v/>
      </c>
      <c r="AD14" s="388"/>
      <c r="AE14" s="346" t="str">
        <f>IF($AD14="○",VLOOKUP($CB14,参照データ!$D$65:$M$82,10,0),IF($AD14="選手権",VLOOKUP($DE14,参照データ!$D$88:$O$117,11,0),""))</f>
        <v/>
      </c>
      <c r="AF14" s="388"/>
      <c r="AG14" s="346" t="str">
        <f>IF($AF14="○",VLOOKUP($CB14,参照データ!$D$65:$M$82,10,0),IF($AF14="選手権",VLOOKUP($DL14,参照データ!$D$88:$O$117,12,0),""))</f>
        <v/>
      </c>
      <c r="AH14" s="388"/>
      <c r="AI14" s="346" t="str">
        <f>IF($AH14="○",VLOOKUP($CB14,参照データ!$D$65:$M$82,10,0),IF($AH14="選手権",VLOOKUP($DL14,参照データ!$D$88:$O$117,12,0),""))</f>
        <v/>
      </c>
      <c r="AJ14" s="388"/>
      <c r="AK14" s="511"/>
      <c r="AL14" s="346" t="str">
        <f t="shared" si="3"/>
        <v/>
      </c>
      <c r="AM14" s="392"/>
      <c r="AN14" s="391"/>
      <c r="AO14" s="391"/>
      <c r="AP14" s="447"/>
      <c r="AQ14" s="321"/>
      <c r="AR14" s="481"/>
      <c r="AS14" s="393"/>
      <c r="AT14" s="483"/>
      <c r="AV14" s="1" t="s">
        <v>149</v>
      </c>
      <c r="AW14">
        <f>IF($D14="重複",VALUE($G13),VALUE($G14))</f>
        <v>0</v>
      </c>
      <c r="AX14" t="str">
        <f t="shared" ref="AX14:AX67" si="33">IF($D14="","",IF($D14="重複",$F13,$F14))</f>
        <v/>
      </c>
      <c r="AY14" s="132"/>
      <c r="BA14" s="513" t="str">
        <f>IF(団体情報・入力の仕方!$C$3&lt;&gt;"大田区大会","",IF(AW14=0,"",IF(I14&gt;=18,"○","")))</f>
        <v/>
      </c>
      <c r="BB14" s="53" t="str">
        <f>IF($AW14=0,"",IF(AND($I14&gt;=6,$I14&lt;=19),VLOOKUP($I14,参照データ!$B$24:$C$37,2,0),IF($I14&lt;6,6,19)))</f>
        <v/>
      </c>
      <c r="BC14" s="155" t="str">
        <f>IF($J14="○",VLOOKUP($BB14,参照データ!$C$24:$I$37,2,0),"")</f>
        <v/>
      </c>
      <c r="BD14" s="146" t="str">
        <f>IF($K14="○",VLOOKUP($BB14,参照データ!$C$24:$I$37,3,0),"")</f>
        <v/>
      </c>
      <c r="BE14" s="146" t="str">
        <f>IF($L14="○",VLOOKUP($BB14,参照データ!$C$24:$I$37,4,0),"")</f>
        <v/>
      </c>
      <c r="BF14" s="146" t="str">
        <f>IF($M14="○",VLOOKUP($BB14,参照データ!$C$24:$I$37,5,0),"")</f>
        <v/>
      </c>
      <c r="BG14" s="146" t="str">
        <f>IF($N14="20日",VLOOKUP($BB14,参照データ!$C$24:$I$37,6,0),"")</f>
        <v/>
      </c>
      <c r="BH14" s="156" t="str">
        <f>IF($O14="20日",VLOOKUP($BB14,参照データ!$C$24:$I$37,7,0),"")</f>
        <v/>
      </c>
      <c r="BI14" s="155" t="str">
        <f>IF($J14="21日",VLOOKUP($BB14,参照データ!$C$24:$I$37,2,0),"")</f>
        <v/>
      </c>
      <c r="BJ14" s="146" t="str">
        <f>IF($K14="21日",VLOOKUP($BB14,参照データ!$C$24:$I$37,3,0),"")</f>
        <v/>
      </c>
      <c r="BK14" s="146" t="str">
        <f>IF($L14="21日",VLOOKUP($BB14,参照データ!$C$24:$I$37,4,0),"")</f>
        <v/>
      </c>
      <c r="BL14" s="146" t="str">
        <f>IF($M14="21日",VLOOKUP($BB14,参照データ!$C$24:$I$37,5,0),"")</f>
        <v/>
      </c>
      <c r="BM14" s="146" t="str">
        <f>IF($N14="21日",VLOOKUP($BB14,参照データ!$C$24:$I$37,6,0),"")</f>
        <v/>
      </c>
      <c r="BN14" s="156" t="str">
        <f>IF($O14="21日",VLOOKUP($BB14,参照データ!$C$24:$I$37,7,0),"")</f>
        <v/>
      </c>
      <c r="BO14" s="223" t="str">
        <f>IF($Y14="○",1,"")</f>
        <v/>
      </c>
      <c r="BP14" s="154" t="str">
        <f>IF($R14="入門",VLOOKUP($BB14,参照データ!$C$43:$U$56,2,0),IF($R14="初級",VLOOKUP($BB14,参照データ!$C$43:$U$56,3,0),IF($R14="中級",VLOOKUP($BB14,参照データ!$C$43:$U$56,4,0),IF($R14="上級",VLOOKUP($BB14,参照データ!$C$43:$U$56,5,0),""))))</f>
        <v/>
      </c>
      <c r="BQ14" s="154" t="str">
        <f>IF($S14="初級",VLOOKUP($BB14,参照データ!$C$43:$U$56,6,0),IF($S14="中級",VLOOKUP($BB14,参照データ!$C$43:$U$56,7,0),IF($S14="上級",VLOOKUP($BB14,参照データ!$C$43:$U$56,8,0),"")))</f>
        <v/>
      </c>
      <c r="BR14" s="154" t="str">
        <f>IF($T14="初級",VLOOKUP($BB14,参照データ!$C$43:$U$56,9,0),IF($T14="上級",VLOOKUP($BB14,参照データ!$C$43:$U$56,10,0),""))</f>
        <v/>
      </c>
      <c r="BS14" s="154" t="str">
        <f>IF($U14="初級",VLOOKUP($BB14,参照データ!$C$43:$U$56,11,0),IF($U14="中級",VLOOKUP($BB14,参照データ!$C$43:$U$56,12,0),IF($U14="上級",VLOOKUP($BB14,参照データ!$C$43:$U$56,13,0),"")))</f>
        <v/>
      </c>
      <c r="BT14" s="154" t="str">
        <f>IF($V14="初級",VLOOKUP($BB14,参照データ!$C$43:$U$56,14,0),IF($V14="中級",VLOOKUP($BB14,参照データ!$C$43:$U$56,15,0),IF($V14="上級",VLOOKUP($BB14,参照データ!$C$43:$U$56,16,0),"")))</f>
        <v/>
      </c>
      <c r="BU14" s="47" t="str">
        <f t="shared" si="4"/>
        <v/>
      </c>
      <c r="BV14" s="47" t="str">
        <f>IF($W14="初級",VLOOKUP($BB14,参照データ!$C$43:$U$56,17,0),IF($W14="中級",VLOOKUP($BB14,参照データ!$C$43:$U$56,18,0),IF($W14="上級",VLOOKUP($BB14,参照データ!$C$43:$U$56,19,0),"")))</f>
        <v/>
      </c>
      <c r="BW14" s="686">
        <v>2</v>
      </c>
      <c r="BX14" s="66" t="s">
        <v>87</v>
      </c>
      <c r="BY14" s="136" t="str">
        <f t="shared" si="11"/>
        <v/>
      </c>
      <c r="BZ14" s="688" t="str">
        <f t="shared" ref="BZ14" si="34">IF(OR($BY14="",$BY15=""),"",IF($BY14&gt;$BY15,$BY14,$BY15))</f>
        <v/>
      </c>
      <c r="CB14" s="53" t="str">
        <f>IF(AND($AW14&gt;=参照データ!$C$67,$AW14&lt;=参照データ!$C$65),1,IF(AND($AW14&gt;=参照データ!$C$70,$AW14&lt;=参照データ!$C$68),2,IF(AND($AW14&gt;=参照データ!$C$73,$AW14&lt;=参照データ!$C$71),3,IF(AND($AW14&gt;=参照データ!$C$76,$AW14&lt;=参照データ!$C$74),4,IF(AND($AW14&gt;=参照データ!$C$79,$AW14&lt;=参照データ!$C$77),5,IF(AND($AW14&gt;0,$AW14&lt;=参照データ!$C$80),6,""))))))</f>
        <v/>
      </c>
      <c r="CC14" s="141" t="str">
        <f>IF($Z14="○",(VLOOKUP($CB14,参照データ!$D$65:$J$82,2,0)),"")</f>
        <v/>
      </c>
      <c r="CD14" s="71" t="str">
        <f t="shared" si="12"/>
        <v/>
      </c>
      <c r="CE14" s="70" t="str">
        <f>IF($AB14="○",(VLOOKUP($CB14,参照データ!$D$65:$J$82,3,0)),"")</f>
        <v/>
      </c>
      <c r="CF14" s="71" t="str">
        <f t="shared" si="13"/>
        <v/>
      </c>
      <c r="CG14" s="70" t="str">
        <f>IF($AD14="○",(VLOOKUP($CB14,参照データ!$D$65:$J$82,4,0)),"")</f>
        <v/>
      </c>
      <c r="CH14" s="71" t="str">
        <f t="shared" si="14"/>
        <v/>
      </c>
      <c r="CI14" s="70" t="str">
        <f>IF($AF14="○",(VLOOKUP($CB14,参照データ!$D$65:$J$82,5,0)),"")</f>
        <v/>
      </c>
      <c r="CJ14" s="71" t="str">
        <f t="shared" si="5"/>
        <v/>
      </c>
      <c r="CK14" s="70" t="str">
        <f>IF($AH14="○",(VLOOKUP($CB14,参照データ!$D$65:$J$82,6,0)),"")</f>
        <v/>
      </c>
      <c r="CL14" s="71" t="str">
        <f t="shared" si="15"/>
        <v/>
      </c>
      <c r="CM14" s="33" t="str">
        <f t="shared" si="16"/>
        <v/>
      </c>
      <c r="CN14" s="32" t="str">
        <f t="shared" si="17"/>
        <v/>
      </c>
      <c r="CO14" s="71" t="str">
        <f t="shared" si="18"/>
        <v/>
      </c>
      <c r="CP14" s="681">
        <v>2</v>
      </c>
      <c r="CQ14" s="79" t="s">
        <v>87</v>
      </c>
      <c r="CR14" s="80" t="str">
        <f t="shared" si="19"/>
        <v/>
      </c>
      <c r="CS14" s="683" t="e">
        <f>IF($CR14&gt;$CR15,VLOOKUP($CR14,参照データ!$D$65:$J$82,7,0),VLOOKUP($CR15,参照データ!$D$65:$J$82,7,0))</f>
        <v>#N/A</v>
      </c>
      <c r="CT14" s="308" t="str">
        <f>IFERROR(VLOOKUP($CS14,参照データ!$J$65:$M$82,4,0),"")</f>
        <v/>
      </c>
      <c r="CU14" s="70"/>
      <c r="CV14" s="172" t="str">
        <f t="shared" si="20"/>
        <v/>
      </c>
      <c r="CX14" s="32"/>
      <c r="CY14" s="161" t="str">
        <f t="shared" si="21"/>
        <v/>
      </c>
      <c r="CZ14" s="743">
        <v>2</v>
      </c>
      <c r="DA14" s="166" t="s">
        <v>87</v>
      </c>
      <c r="DB14" s="167" t="str">
        <f>IF(COUNTIF($CW$12:$CW$71,DA14)&gt;=1,VLOOKUP(DA14,$CW$12:$CX$71,2,0),"")</f>
        <v/>
      </c>
      <c r="DC14" s="741" t="str">
        <f>IF(OR(DB14="",DB15=""),"",IF(DB14&gt;DB15,DB14,DB15))</f>
        <v/>
      </c>
      <c r="DD14" t="str">
        <f>IF($DE14="","",DATEDIF($AW14,参照データ!$D$19,"Y"))</f>
        <v/>
      </c>
      <c r="DE14" s="253" t="str">
        <f>IFERROR(IF($AX14="男子",VLOOKUP($DL14,参照データ!$D$88:$E$117,2,0),$DL14),0)</f>
        <v/>
      </c>
      <c r="DF14" s="84" t="str">
        <f>IF($Z14="選手権",(VLOOKUP($DE14,参照データ!$D$88:$K$117,3,0)),"")</f>
        <v/>
      </c>
      <c r="DG14" s="85" t="str">
        <f t="shared" si="6"/>
        <v/>
      </c>
      <c r="DH14" s="84" t="str">
        <f>IF($AB14="選手権",(VLOOKUP($DE14,参照データ!$D$88:$K$117,4,0)),"")</f>
        <v/>
      </c>
      <c r="DI14" s="85" t="str">
        <f t="shared" si="7"/>
        <v/>
      </c>
      <c r="DJ14" s="84" t="str">
        <f>IF($AD14="選手権",(VLOOKUP($DE14,参照データ!$D$88:$K$117,5,0)),"")</f>
        <v/>
      </c>
      <c r="DK14" s="85" t="str">
        <f t="shared" si="8"/>
        <v/>
      </c>
      <c r="DL14" s="53" t="str">
        <f>IF(AND($AW14&gt;=参照データ!$C$90,$AW14&lt;=参照データ!$C$88),1,IF(AND($AW14&gt;=参照データ!$C$93,$AW14&lt;=参照データ!$C$91),2,IF(AND($AW14&gt;=参照データ!$C$99,$AW14&lt;=参照データ!$C$97),3,IF(AND($AW14&gt;=参照データ!$C$105,$AW14&lt;=参照データ!$C$103),4,IF(AND($AW14&gt;=参照データ!$C$111,$AW14&lt;=参照データ!$C$109),5,IF(AND($AW14&gt;0,$AW14&lt;=参照データ!$C$112),6,""))))))</f>
        <v/>
      </c>
      <c r="DM14" s="84" t="str">
        <f>IF($AF14="選手権",(VLOOKUP($DL14,参照データ!$D$88:$K$117,6,0)),"")</f>
        <v/>
      </c>
      <c r="DN14" s="85" t="str">
        <f t="shared" si="9"/>
        <v/>
      </c>
      <c r="DO14" s="84" t="str">
        <f>IF($AH14="選手権",(VLOOKUP($DL14,参照データ!$D$88:$K$117,7,0)),"")</f>
        <v/>
      </c>
      <c r="DP14" s="85" t="str">
        <f t="shared" si="22"/>
        <v/>
      </c>
      <c r="DQ14" s="33" t="str">
        <f t="shared" si="23"/>
        <v/>
      </c>
      <c r="DR14" s="32" t="str">
        <f t="shared" si="24"/>
        <v/>
      </c>
      <c r="DS14" s="85" t="str">
        <f t="shared" si="25"/>
        <v/>
      </c>
      <c r="DT14" s="736">
        <v>2</v>
      </c>
      <c r="DU14" s="93" t="s">
        <v>87</v>
      </c>
      <c r="DV14" s="94" t="str">
        <f t="shared" ref="DV14:DV71" si="35">IFERROR(INDEX($DL:$DL,MATCH($DU14,$DQ:$DQ,0)),"")</f>
        <v/>
      </c>
      <c r="DW14" s="737" t="e">
        <f>IF($DV14&gt;$DV15,VLOOKUP($DV14,参照データ!$D$88:$K$117,8,0),VLOOKUP($DV15,参照データ!$D$88:$K$117,8,0))</f>
        <v>#N/A</v>
      </c>
      <c r="DX14" s="312" t="str">
        <f>IFERROR(VLOOKUP($DW14,参照データ!$K$88:$O$117,5,0),"")</f>
        <v/>
      </c>
      <c r="DZ14" s="491" t="str">
        <f t="shared" si="26"/>
        <v/>
      </c>
      <c r="EE14" s="35">
        <f>(COUNTIF($J14:$O14,"&lt;&gt;"))*参照データ!$E$3</f>
        <v>0</v>
      </c>
      <c r="EF14" s="219" t="str">
        <f>IF($Y14="○",参照データ!$E$4,"")</f>
        <v/>
      </c>
      <c r="EG14" s="18">
        <f>(SUM(COUNTIF($R14:$V14,{"入門","初級"}))*参照データ!$E$9)+(SUM(COUNTIF($R14:$V14,{"中級","上級"})*参照データ!$E$10))</f>
        <v>0</v>
      </c>
      <c r="EH14" s="18">
        <f>IFERROR(VLOOKUP($W14,参照データ!$D$9:$J$11,7,0),0)</f>
        <v>0</v>
      </c>
      <c r="EI14" s="18">
        <f>((COUNTIF($Z14:$AH14,"○"))*参照データ!$E$12)</f>
        <v>0</v>
      </c>
      <c r="EJ14" s="18" t="str">
        <f>(IF($AJ14="○",参照データ!$J$12,""))</f>
        <v/>
      </c>
      <c r="EM14" s="18">
        <f>((COUNTIF($Z14:$AH14,"選手権"))*参照データ!$E$13)</f>
        <v>0</v>
      </c>
      <c r="EN14" s="18" t="str">
        <f>(IF($AJ14="選手権",参照データ!$J$13,""))</f>
        <v/>
      </c>
      <c r="EO14" s="18">
        <f>(COUNTIF($AQ14:$AR14,"&lt;&gt;"))*参照データ!$H$3</f>
        <v>0</v>
      </c>
      <c r="EP14" s="18"/>
      <c r="EQ14" s="98">
        <f t="array" ref="EQ14">SUM(IF(ISERROR(EE14:EN14),0,(EE14:EN14)))</f>
        <v>0</v>
      </c>
      <c r="ER14" s="18"/>
      <c r="ES14" s="18">
        <f t="shared" si="10"/>
        <v>0</v>
      </c>
      <c r="ET14" s="18">
        <f t="shared" ref="ET14:ET71" si="36">COUNTA($Y14)</f>
        <v>0</v>
      </c>
      <c r="EU14" s="18">
        <f t="shared" si="27"/>
        <v>0</v>
      </c>
      <c r="EV14" s="18">
        <f t="shared" si="28"/>
        <v>0</v>
      </c>
      <c r="EW14" s="18">
        <f t="shared" si="29"/>
        <v>0</v>
      </c>
      <c r="EX14" s="18">
        <f t="shared" si="30"/>
        <v>0</v>
      </c>
      <c r="EY14" t="str">
        <f t="shared" si="31"/>
        <v/>
      </c>
    </row>
    <row r="15" spans="1:155" ht="18.75" customHeight="1" x14ac:dyDescent="0.2">
      <c r="A15">
        <v>4</v>
      </c>
      <c r="B15" s="14" t="str">
        <f>IF(D15="","",IF(D15="重複","",COUNTIF(B$12:$B14,"&gt;0")+1))</f>
        <v/>
      </c>
      <c r="C15" s="464"/>
      <c r="D15" s="177"/>
      <c r="E15" s="177"/>
      <c r="F15" s="31"/>
      <c r="G15" s="41"/>
      <c r="H15" s="351">
        <f t="shared" si="32"/>
        <v>0</v>
      </c>
      <c r="I15" s="193" t="str">
        <f>IF($AW15=0,"",DATEDIF($AW15,参照データ!$D$16,"Y"))</f>
        <v/>
      </c>
      <c r="J15" s="517"/>
      <c r="K15" s="517"/>
      <c r="L15" s="517"/>
      <c r="M15" s="517"/>
      <c r="N15" s="517"/>
      <c r="O15" s="518"/>
      <c r="P15" s="345"/>
      <c r="Q15" s="345"/>
      <c r="R15" s="519"/>
      <c r="S15" s="244"/>
      <c r="T15" s="244"/>
      <c r="U15" s="244"/>
      <c r="V15" s="245"/>
      <c r="W15" s="247"/>
      <c r="X15" s="250"/>
      <c r="Y15" s="345"/>
      <c r="Z15" s="388"/>
      <c r="AA15" s="346" t="str">
        <f>IF($Z15="○",VLOOKUP($CB15,参照データ!$D$65:$M$82,9,0),IF($Z15="選手権",VLOOKUP($DE15,参照データ!$D$88:$O$117,10,0),""))</f>
        <v/>
      </c>
      <c r="AB15" s="388"/>
      <c r="AC15" s="346" t="str">
        <f>IF($AB15="○",VLOOKUP($CB15,参照データ!$D$65:$M$82,10,0),IF($AB15="選手権",VLOOKUP($DE15,参照データ!$D$88:$O$117,11,0),""))</f>
        <v/>
      </c>
      <c r="AD15" s="388"/>
      <c r="AE15" s="346" t="str">
        <f>IF($AD15="○",VLOOKUP($CB15,参照データ!$D$65:$M$82,10,0),IF($AD15="選手権",VLOOKUP($DE15,参照データ!$D$88:$O$117,11,0),""))</f>
        <v/>
      </c>
      <c r="AF15" s="388"/>
      <c r="AG15" s="346" t="str">
        <f>IF($AF15="○",VLOOKUP($CB15,参照データ!$D$65:$M$82,10,0),IF($AF15="選手権",VLOOKUP($DL15,参照データ!$D$88:$O$117,12,0),""))</f>
        <v/>
      </c>
      <c r="AH15" s="388"/>
      <c r="AI15" s="346" t="str">
        <f>IF($AH15="○",VLOOKUP($CB15,参照データ!$D$65:$M$82,10,0),IF($AH15="選手権",VLOOKUP($DL15,参照データ!$D$88:$O$117,12,0),""))</f>
        <v/>
      </c>
      <c r="AJ15" s="388"/>
      <c r="AK15" s="511"/>
      <c r="AL15" s="346" t="str">
        <f t="shared" si="3"/>
        <v/>
      </c>
      <c r="AM15" s="392"/>
      <c r="AN15" s="391"/>
      <c r="AO15" s="391"/>
      <c r="AP15" s="447"/>
      <c r="AQ15" s="321"/>
      <c r="AR15" s="481"/>
      <c r="AS15" s="393"/>
      <c r="AT15" s="483"/>
      <c r="AV15" s="1" t="s">
        <v>146</v>
      </c>
      <c r="AW15">
        <f>IF($D15="重複",VALUE($G14),VALUE($G15))</f>
        <v>0</v>
      </c>
      <c r="AX15" t="str">
        <f t="shared" si="33"/>
        <v/>
      </c>
      <c r="AY15" s="132"/>
      <c r="BA15" s="513" t="str">
        <f>IF(団体情報・入力の仕方!$C$3&lt;&gt;"大田区大会","",IF(AW15=0,"",IF(I15&gt;=18,"○","")))</f>
        <v/>
      </c>
      <c r="BB15" s="53" t="str">
        <f>IF($AW15=0,"",IF(AND($I15&gt;=6,$I15&lt;=19),VLOOKUP($I15,参照データ!$B$24:$C$37,2,0),IF($I15&lt;6,6,19)))</f>
        <v/>
      </c>
      <c r="BC15" s="155" t="str">
        <f>IF($J15="○",VLOOKUP($BB15,参照データ!$C$24:$I$37,2,0),"")</f>
        <v/>
      </c>
      <c r="BD15" s="146" t="str">
        <f>IF($K15="○",VLOOKUP($BB15,参照データ!$C$24:$I$37,3,0),"")</f>
        <v/>
      </c>
      <c r="BE15" s="146" t="str">
        <f>IF($L15="○",VLOOKUP($BB15,参照データ!$C$24:$I$37,4,0),"")</f>
        <v/>
      </c>
      <c r="BF15" s="146" t="str">
        <f>IF($M15="○",VLOOKUP($BB15,参照データ!$C$24:$I$37,5,0),"")</f>
        <v/>
      </c>
      <c r="BG15" s="146" t="str">
        <f>IF($N15="20日",VLOOKUP($BB15,参照データ!$C$24:$I$37,6,0),"")</f>
        <v/>
      </c>
      <c r="BH15" s="156" t="str">
        <f>IF($O15="20日",VLOOKUP($BB15,参照データ!$C$24:$I$37,7,0),"")</f>
        <v/>
      </c>
      <c r="BI15" s="155" t="str">
        <f>IF($J15="21日",VLOOKUP($BB15,参照データ!$C$24:$I$37,2,0),"")</f>
        <v/>
      </c>
      <c r="BJ15" s="146" t="str">
        <f>IF($K15="21日",VLOOKUP($BB15,参照データ!$C$24:$I$37,3,0),"")</f>
        <v/>
      </c>
      <c r="BK15" s="146" t="str">
        <f>IF($L15="21日",VLOOKUP($BB15,参照データ!$C$24:$I$37,4,0),"")</f>
        <v/>
      </c>
      <c r="BL15" s="146" t="str">
        <f>IF($M15="21日",VLOOKUP($BB15,参照データ!$C$24:$I$37,5,0),"")</f>
        <v/>
      </c>
      <c r="BM15" s="146" t="str">
        <f>IF($N15="21日",VLOOKUP($BB15,参照データ!$C$24:$I$37,6,0),"")</f>
        <v/>
      </c>
      <c r="BN15" s="156" t="str">
        <f>IF($O15="21日",VLOOKUP($BB15,参照データ!$C$24:$I$37,7,0),"")</f>
        <v/>
      </c>
      <c r="BO15" s="223" t="str">
        <f>IF($Y15="○",1,"")</f>
        <v/>
      </c>
      <c r="BP15" s="154" t="str">
        <f>IF($R15="入門",VLOOKUP($BB15,参照データ!$C$43:$U$56,2,0),IF($R15="初級",VLOOKUP($BB15,参照データ!$C$43:$U$56,3,0),IF($R15="中級",VLOOKUP($BB15,参照データ!$C$43:$U$56,4,0),IF($R15="上級",VLOOKUP($BB15,参照データ!$C$43:$U$56,5,0),""))))</f>
        <v/>
      </c>
      <c r="BQ15" s="154" t="str">
        <f>IF($S15="初級",VLOOKUP($BB15,参照データ!$C$43:$U$56,6,0),IF($S15="中級",VLOOKUP($BB15,参照データ!$C$43:$U$56,7,0),IF($S15="上級",VLOOKUP($BB15,参照データ!$C$43:$U$56,8,0),"")))</f>
        <v/>
      </c>
      <c r="BR15" s="154" t="str">
        <f>IF($T15="初級",VLOOKUP($BB15,参照データ!$C$43:$U$56,9,0),IF($T15="上級",VLOOKUP($BB15,参照データ!$C$43:$U$56,10,0),""))</f>
        <v/>
      </c>
      <c r="BS15" s="154" t="str">
        <f>IF($U15="初級",VLOOKUP($BB15,参照データ!$C$43:$U$56,11,0),IF($U15="中級",VLOOKUP($BB15,参照データ!$C$43:$U$56,12,0),IF($U15="上級",VLOOKUP($BB15,参照データ!$C$43:$U$56,13,0),"")))</f>
        <v/>
      </c>
      <c r="BT15" s="154" t="str">
        <f>IF($V15="初級",VLOOKUP($BB15,参照データ!$C$43:$U$56,14,0),IF($V15="中級",VLOOKUP($BB15,参照データ!$C$43:$U$56,15,0),IF($V15="上級",VLOOKUP($BB15,参照データ!$C$43:$U$56,16,0),"")))</f>
        <v/>
      </c>
      <c r="BU15" s="47" t="str">
        <f t="shared" si="4"/>
        <v/>
      </c>
      <c r="BV15" s="47" t="str">
        <f>IF($W15="初級",VLOOKUP($BB15,参照データ!$C$43:$U$56,17,0),IF($W15="中級",VLOOKUP($BB15,参照データ!$C$43:$U$56,18,0),IF($W15="上級",VLOOKUP($BB15,参照データ!$C$43:$U$56,19,0),"")))</f>
        <v/>
      </c>
      <c r="BW15" s="687"/>
      <c r="BX15" s="65" t="s">
        <v>88</v>
      </c>
      <c r="BY15" s="135" t="str">
        <f t="shared" si="11"/>
        <v/>
      </c>
      <c r="BZ15" s="689"/>
      <c r="CB15" s="53" t="str">
        <f>IF(AND($AW15&gt;=参照データ!$C$67,$AW15&lt;=参照データ!$C$65),1,IF(AND($AW15&gt;=参照データ!$C$70,$AW15&lt;=参照データ!$C$68),2,IF(AND($AW15&gt;=参照データ!$C$73,$AW15&lt;=参照データ!$C$71),3,IF(AND($AW15&gt;=参照データ!$C$76,$AW15&lt;=参照データ!$C$74),4,IF(AND($AW15&gt;=参照データ!$C$79,$AW15&lt;=参照データ!$C$77),5,IF(AND($AW15&gt;0,$AW15&lt;=参照データ!$C$80),6,""))))))</f>
        <v/>
      </c>
      <c r="CC15" s="141" t="str">
        <f>IF($Z15="○",(VLOOKUP($CB15,参照データ!$D$65:$J$82,2,0)),"")</f>
        <v/>
      </c>
      <c r="CD15" s="71" t="str">
        <f t="shared" si="12"/>
        <v/>
      </c>
      <c r="CE15" s="70" t="str">
        <f>IF($AB15="○",(VLOOKUP($CB15,参照データ!$D$65:$J$82,3,0)),"")</f>
        <v/>
      </c>
      <c r="CF15" s="71" t="str">
        <f t="shared" si="13"/>
        <v/>
      </c>
      <c r="CG15" s="70" t="str">
        <f>IF($AD15="○",(VLOOKUP($CB15,参照データ!$D$65:$J$82,4,0)),"")</f>
        <v/>
      </c>
      <c r="CH15" s="71" t="str">
        <f t="shared" si="14"/>
        <v/>
      </c>
      <c r="CI15" s="70" t="str">
        <f>IF($AF15="○",(VLOOKUP($CB15,参照データ!$D$65:$J$82,5,0)),"")</f>
        <v/>
      </c>
      <c r="CJ15" s="71" t="str">
        <f t="shared" si="5"/>
        <v/>
      </c>
      <c r="CK15" s="70" t="str">
        <f>IF($AH15="○",(VLOOKUP($CB15,参照データ!$D$65:$J$82,6,0)),"")</f>
        <v/>
      </c>
      <c r="CL15" s="71" t="str">
        <f t="shared" si="15"/>
        <v/>
      </c>
      <c r="CM15" s="33" t="str">
        <f t="shared" si="16"/>
        <v/>
      </c>
      <c r="CN15" s="32" t="str">
        <f t="shared" si="17"/>
        <v/>
      </c>
      <c r="CO15" s="71" t="str">
        <f t="shared" si="18"/>
        <v/>
      </c>
      <c r="CP15" s="682"/>
      <c r="CQ15" s="77" t="s">
        <v>88</v>
      </c>
      <c r="CR15" s="78" t="str">
        <f t="shared" si="19"/>
        <v/>
      </c>
      <c r="CS15" s="684"/>
      <c r="CT15" s="308" t="str">
        <f t="shared" ref="CT15" si="37">$CT14</f>
        <v/>
      </c>
      <c r="CU15" s="70"/>
      <c r="CV15" s="172" t="str">
        <f t="shared" si="20"/>
        <v/>
      </c>
      <c r="CX15" s="32"/>
      <c r="CY15" s="161" t="str">
        <f t="shared" si="21"/>
        <v/>
      </c>
      <c r="CZ15" s="744"/>
      <c r="DA15" s="164" t="s">
        <v>88</v>
      </c>
      <c r="DB15" s="165" t="str">
        <f>IF(COUNTIF($CW$12:$CW$71,DA15)&gt;=1,VLOOKUP(DA15,$CW$12:$CX$71,2,0),"")</f>
        <v/>
      </c>
      <c r="DC15" s="742"/>
      <c r="DD15" t="str">
        <f>IF($DE15="","",DATEDIF($AW15,参照データ!$D$19,"Y"))</f>
        <v/>
      </c>
      <c r="DE15" s="253" t="str">
        <f>IFERROR(IF($AX15="男子",VLOOKUP($DL15,参照データ!$D$88:$E$117,2,0),$DL15),0)</f>
        <v/>
      </c>
      <c r="DF15" s="84" t="str">
        <f>IF($Z15="選手権",(VLOOKUP($DE15,参照データ!$D$88:$K$117,3,0)),"")</f>
        <v/>
      </c>
      <c r="DG15" s="85" t="str">
        <f t="shared" si="6"/>
        <v/>
      </c>
      <c r="DH15" s="84" t="str">
        <f>IF($AB15="選手権",(VLOOKUP($DE15,参照データ!$D$88:$K$117,4,0)),"")</f>
        <v/>
      </c>
      <c r="DI15" s="85" t="str">
        <f t="shared" si="7"/>
        <v/>
      </c>
      <c r="DJ15" s="84" t="str">
        <f>IF($AD15="選手権",(VLOOKUP($DE15,参照データ!$D$88:$K$117,5,0)),"")</f>
        <v/>
      </c>
      <c r="DK15" s="85" t="str">
        <f t="shared" si="8"/>
        <v/>
      </c>
      <c r="DL15" s="53" t="str">
        <f>IF(AND($AW15&gt;=参照データ!$C$90,$AW15&lt;=参照データ!$C$88),1,IF(AND($AW15&gt;=参照データ!$C$93,$AW15&lt;=参照データ!$C$91),2,IF(AND($AW15&gt;=参照データ!$C$99,$AW15&lt;=参照データ!$C$97),3,IF(AND($AW15&gt;=参照データ!$C$105,$AW15&lt;=参照データ!$C$103),4,IF(AND($AW15&gt;=参照データ!$C$111,$AW15&lt;=参照データ!$C$109),5,IF(AND($AW15&gt;0,$AW15&lt;=参照データ!$C$112),6,""))))))</f>
        <v/>
      </c>
      <c r="DM15" s="84" t="str">
        <f>IF($AF15="選手権",(VLOOKUP($DL15,参照データ!$D$88:$K$117,6,0)),"")</f>
        <v/>
      </c>
      <c r="DN15" s="85" t="str">
        <f t="shared" si="9"/>
        <v/>
      </c>
      <c r="DO15" s="84" t="str">
        <f>IF($AH15="選手権",(VLOOKUP($DL15,参照データ!$D$88:$K$117,7,0)),"")</f>
        <v/>
      </c>
      <c r="DP15" s="85" t="str">
        <f t="shared" si="22"/>
        <v/>
      </c>
      <c r="DQ15" s="33" t="str">
        <f t="shared" si="23"/>
        <v/>
      </c>
      <c r="DR15" s="32" t="str">
        <f t="shared" si="24"/>
        <v/>
      </c>
      <c r="DS15" s="85" t="str">
        <f t="shared" si="25"/>
        <v/>
      </c>
      <c r="DT15" s="733"/>
      <c r="DU15" s="91" t="s">
        <v>88</v>
      </c>
      <c r="DV15" s="92" t="str">
        <f t="shared" si="35"/>
        <v/>
      </c>
      <c r="DW15" s="735"/>
      <c r="DX15" s="312" t="str">
        <f t="shared" ref="DX15" si="38">$DX14</f>
        <v/>
      </c>
      <c r="DZ15" s="491" t="str">
        <f t="shared" si="26"/>
        <v/>
      </c>
      <c r="EE15" s="35">
        <f>(COUNTIF($J15:$O15,"&lt;&gt;"))*参照データ!$E$3</f>
        <v>0</v>
      </c>
      <c r="EF15" s="219" t="str">
        <f>IF($Y15="○",参照データ!$E$4,"")</f>
        <v/>
      </c>
      <c r="EG15" s="18">
        <f>(SUM(COUNTIF($R15:$V15,{"入門","初級"}))*参照データ!$E$9)+(SUM(COUNTIF($R15:$V15,{"中級","上級"})*参照データ!$E$10))</f>
        <v>0</v>
      </c>
      <c r="EH15" s="18">
        <f>IFERROR(VLOOKUP($W15,参照データ!$D$9:$J$11,7,0),0)</f>
        <v>0</v>
      </c>
      <c r="EI15" s="18">
        <f>((COUNTIF($Z15:$AH15,"○"))*参照データ!$E$12)</f>
        <v>0</v>
      </c>
      <c r="EJ15" s="18" t="str">
        <f>(IF($AJ15="○",参照データ!$J$12,""))</f>
        <v/>
      </c>
      <c r="EM15" s="18">
        <f>((COUNTIF($Z15:$AH15,"選手権"))*参照データ!$E$13)</f>
        <v>0</v>
      </c>
      <c r="EN15" s="18" t="str">
        <f>(IF($AJ15="選手権",参照データ!$J$13,""))</f>
        <v/>
      </c>
      <c r="EO15" s="18">
        <f>(COUNTIF($AQ15:$AR15,"&lt;&gt;"))*参照データ!$H$3</f>
        <v>0</v>
      </c>
      <c r="EP15" s="18"/>
      <c r="EQ15" s="98">
        <f t="array" ref="EQ15">SUM(IF(ISERROR(EE15:EN15),0,(EE15:EN15)))</f>
        <v>0</v>
      </c>
      <c r="ER15" s="18"/>
      <c r="ES15" s="18">
        <f t="shared" si="10"/>
        <v>0</v>
      </c>
      <c r="ET15" s="18">
        <f t="shared" si="36"/>
        <v>0</v>
      </c>
      <c r="EU15" s="18">
        <f t="shared" si="27"/>
        <v>0</v>
      </c>
      <c r="EV15" s="18">
        <f t="shared" si="28"/>
        <v>0</v>
      </c>
      <c r="EW15" s="18">
        <f t="shared" si="29"/>
        <v>0</v>
      </c>
      <c r="EX15" s="18">
        <f t="shared" si="30"/>
        <v>0</v>
      </c>
      <c r="EY15" t="str">
        <f t="shared" si="31"/>
        <v/>
      </c>
    </row>
    <row r="16" spans="1:155" ht="18.75" customHeight="1" x14ac:dyDescent="0.2">
      <c r="A16">
        <v>5</v>
      </c>
      <c r="B16" s="14" t="str">
        <f>IF(D16="","",IF(D16="重複","",COUNTIF(B$12:$B15,"&gt;0")+1))</f>
        <v/>
      </c>
      <c r="C16" s="464"/>
      <c r="D16" s="177"/>
      <c r="E16" s="177"/>
      <c r="F16" s="31"/>
      <c r="G16" s="41"/>
      <c r="H16" s="351">
        <f t="shared" si="32"/>
        <v>0</v>
      </c>
      <c r="I16" s="193" t="str">
        <f>IF($AW16=0,"",DATEDIF($AW16,参照データ!$D$16,"Y"))</f>
        <v/>
      </c>
      <c r="J16" s="517"/>
      <c r="K16" s="517"/>
      <c r="L16" s="517"/>
      <c r="M16" s="517"/>
      <c r="N16" s="517"/>
      <c r="O16" s="518"/>
      <c r="P16" s="345"/>
      <c r="Q16" s="345"/>
      <c r="R16" s="519"/>
      <c r="S16" s="244"/>
      <c r="T16" s="244"/>
      <c r="U16" s="244"/>
      <c r="V16" s="245"/>
      <c r="W16" s="247"/>
      <c r="X16" s="250"/>
      <c r="Y16" s="345"/>
      <c r="Z16" s="388"/>
      <c r="AA16" s="346" t="str">
        <f>IF($Z16="○",VLOOKUP($CB16,参照データ!$D$65:$M$82,9,0),IF($Z16="選手権",VLOOKUP($DE16,参照データ!$D$88:$O$117,10,0),""))</f>
        <v/>
      </c>
      <c r="AB16" s="388"/>
      <c r="AC16" s="346" t="str">
        <f>IF($AB16="○",VLOOKUP($CB16,参照データ!$D$65:$M$82,10,0),IF($AB16="選手権",VLOOKUP($DE16,参照データ!$D$88:$O$117,11,0),""))</f>
        <v/>
      </c>
      <c r="AD16" s="388"/>
      <c r="AE16" s="346" t="str">
        <f>IF($AD16="○",VLOOKUP($CB16,参照データ!$D$65:$M$82,10,0),IF($AD16="選手権",VLOOKUP($DE16,参照データ!$D$88:$O$117,11,0),""))</f>
        <v/>
      </c>
      <c r="AF16" s="388"/>
      <c r="AG16" s="346" t="str">
        <f>IF($AF16="○",VLOOKUP($CB16,参照データ!$D$65:$M$82,10,0),IF($AF16="選手権",VLOOKUP($DL16,参照データ!$D$88:$O$117,12,0),""))</f>
        <v/>
      </c>
      <c r="AH16" s="388"/>
      <c r="AI16" s="346" t="str">
        <f>IF($AH16="○",VLOOKUP($CB16,参照データ!$D$65:$M$82,10,0),IF($AH16="選手権",VLOOKUP($DL16,参照データ!$D$88:$O$117,12,0),""))</f>
        <v/>
      </c>
      <c r="AJ16" s="388"/>
      <c r="AK16" s="511"/>
      <c r="AL16" s="346" t="str">
        <f t="shared" si="3"/>
        <v/>
      </c>
      <c r="AM16" s="392"/>
      <c r="AN16" s="391"/>
      <c r="AO16" s="391"/>
      <c r="AP16" s="447"/>
      <c r="AQ16" s="321"/>
      <c r="AR16" s="481"/>
      <c r="AS16" s="393"/>
      <c r="AT16" s="483"/>
      <c r="AV16" s="1" t="s">
        <v>147</v>
      </c>
      <c r="AW16">
        <f t="shared" ref="AW16" si="39">IF($D16="重複",VALUE($G15),VALUE($G16))</f>
        <v>0</v>
      </c>
      <c r="AX16" t="str">
        <f t="shared" si="33"/>
        <v/>
      </c>
      <c r="AY16" s="132"/>
      <c r="BA16" s="513" t="str">
        <f>IF(団体情報・入力の仕方!$C$3&lt;&gt;"大田区大会","",IF(AW16=0,"",IF(I16&gt;=18,"○","")))</f>
        <v/>
      </c>
      <c r="BB16" s="53" t="str">
        <f>IF($AW16=0,"",IF(AND($I16&gt;=6,$I16&lt;=19),VLOOKUP($I16,参照データ!$B$24:$C$37,2,0),IF($I16&lt;6,6,19)))</f>
        <v/>
      </c>
      <c r="BC16" s="155" t="str">
        <f>IF($J16="○",VLOOKUP($BB16,参照データ!$C$24:$I$37,2,0),"")</f>
        <v/>
      </c>
      <c r="BD16" s="146" t="str">
        <f>IF($K16="○",VLOOKUP($BB16,参照データ!$C$24:$I$37,3,0),"")</f>
        <v/>
      </c>
      <c r="BE16" s="146" t="str">
        <f>IF($L16="○",VLOOKUP($BB16,参照データ!$C$24:$I$37,4,0),"")</f>
        <v/>
      </c>
      <c r="BF16" s="146" t="str">
        <f>IF($M16="○",VLOOKUP($BB16,参照データ!$C$24:$I$37,5,0),"")</f>
        <v/>
      </c>
      <c r="BG16" s="146" t="str">
        <f>IF($N16="20日",VLOOKUP($BB16,参照データ!$C$24:$I$37,6,0),"")</f>
        <v/>
      </c>
      <c r="BH16" s="156" t="str">
        <f>IF($O16="20日",VLOOKUP($BB16,参照データ!$C$24:$I$37,7,0),"")</f>
        <v/>
      </c>
      <c r="BI16" s="155" t="str">
        <f>IF($J16="21日",VLOOKUP($BB16,参照データ!$C$24:$I$37,2,0),"")</f>
        <v/>
      </c>
      <c r="BJ16" s="146" t="str">
        <f>IF($K16="21日",VLOOKUP($BB16,参照データ!$C$24:$I$37,3,0),"")</f>
        <v/>
      </c>
      <c r="BK16" s="146" t="str">
        <f>IF($L16="21日",VLOOKUP($BB16,参照データ!$C$24:$I$37,4,0),"")</f>
        <v/>
      </c>
      <c r="BL16" s="146" t="str">
        <f>IF($M16="21日",VLOOKUP($BB16,参照データ!$C$24:$I$37,5,0),"")</f>
        <v/>
      </c>
      <c r="BM16" s="146" t="str">
        <f>IF($N16="21日",VLOOKUP($BB16,参照データ!$C$24:$I$37,6,0),"")</f>
        <v/>
      </c>
      <c r="BN16" s="156" t="str">
        <f>IF($O16="21日",VLOOKUP($BB16,参照データ!$C$24:$I$37,7,0),"")</f>
        <v/>
      </c>
      <c r="BO16" s="223" t="str">
        <f t="shared" ref="BO16:BO71" si="40">IF($Y16="○",1,"")</f>
        <v/>
      </c>
      <c r="BP16" s="154" t="str">
        <f>IF($R16="入門",VLOOKUP($BB16,参照データ!$C$43:$U$56,2,0),IF($R16="初級",VLOOKUP($BB16,参照データ!$C$43:$U$56,3,0),IF($R16="中級",VLOOKUP($BB16,参照データ!$C$43:$U$56,4,0),IF($R16="上級",VLOOKUP($BB16,参照データ!$C$43:$U$56,5,0),""))))</f>
        <v/>
      </c>
      <c r="BQ16" s="154" t="str">
        <f>IF($S16="初級",VLOOKUP($BB16,参照データ!$C$43:$U$56,6,0),IF($S16="中級",VLOOKUP($BB16,参照データ!$C$43:$U$56,7,0),IF($S16="上級",VLOOKUP($BB16,参照データ!$C$43:$U$56,8,0),"")))</f>
        <v/>
      </c>
      <c r="BR16" s="154" t="str">
        <f>IF($T16="初級",VLOOKUP($BB16,参照データ!$C$43:$U$56,9,0),IF($T16="上級",VLOOKUP($BB16,参照データ!$C$43:$U$56,10,0),""))</f>
        <v/>
      </c>
      <c r="BS16" s="154" t="str">
        <f>IF($U16="初級",VLOOKUP($BB16,参照データ!$C$43:$U$56,11,0),IF($U16="中級",VLOOKUP($BB16,参照データ!$C$43:$U$56,12,0),IF($U16="上級",VLOOKUP($BB16,参照データ!$C$43:$U$56,13,0),"")))</f>
        <v/>
      </c>
      <c r="BT16" s="154" t="str">
        <f>IF($V16="初級",VLOOKUP($BB16,参照データ!$C$43:$U$56,14,0),IF($V16="中級",VLOOKUP($BB16,参照データ!$C$43:$U$56,15,0),IF($V16="上級",VLOOKUP($BB16,参照データ!$C$43:$U$56,16,0),"")))</f>
        <v/>
      </c>
      <c r="BU16" s="47" t="str">
        <f t="shared" si="4"/>
        <v/>
      </c>
      <c r="BV16" s="47" t="str">
        <f>IF($W16="初級",VLOOKUP($BB16,参照データ!$C$43:$U$56,17,0),IF($W16="中級",VLOOKUP($BB16,参照データ!$C$43:$U$56,18,0),IF($W16="上級",VLOOKUP($BB16,参照データ!$C$43:$U$56,19,0),"")))</f>
        <v/>
      </c>
      <c r="BW16" s="686">
        <v>3</v>
      </c>
      <c r="BX16" s="66" t="s">
        <v>89</v>
      </c>
      <c r="BY16" s="136" t="str">
        <f t="shared" si="11"/>
        <v/>
      </c>
      <c r="BZ16" s="688" t="str">
        <f t="shared" ref="BZ16" si="41">IF(OR($BY16="",$BY17=""),"",IF($BY16&gt;$BY17,$BY16,$BY17))</f>
        <v/>
      </c>
      <c r="CB16" s="53" t="str">
        <f>IF(AND($AW16&gt;=参照データ!$C$67,$AW16&lt;=参照データ!$C$65),1,IF(AND($AW16&gt;=参照データ!$C$70,$AW16&lt;=参照データ!$C$68),2,IF(AND($AW16&gt;=参照データ!$C$73,$AW16&lt;=参照データ!$C$71),3,IF(AND($AW16&gt;=参照データ!$C$76,$AW16&lt;=参照データ!$C$74),4,IF(AND($AW16&gt;=参照データ!$C$79,$AW16&lt;=参照データ!$C$77),5,IF(AND($AW16&gt;0,$AW16&lt;=参照データ!$C$80),6,""))))))</f>
        <v/>
      </c>
      <c r="CC16" s="141" t="str">
        <f>IF($Z16="○",(VLOOKUP($CB16,参照データ!$D$65:$J$82,2,0)),"")</f>
        <v/>
      </c>
      <c r="CD16" s="71" t="str">
        <f t="shared" si="12"/>
        <v/>
      </c>
      <c r="CE16" s="70" t="str">
        <f>IF($AB16="○",(VLOOKUP($CB16,参照データ!$D$65:$J$82,3,0)),"")</f>
        <v/>
      </c>
      <c r="CF16" s="71" t="str">
        <f t="shared" si="13"/>
        <v/>
      </c>
      <c r="CG16" s="70" t="str">
        <f>IF($AD16="○",(VLOOKUP($CB16,参照データ!$D$65:$J$82,4,0)),"")</f>
        <v/>
      </c>
      <c r="CH16" s="71" t="str">
        <f t="shared" si="14"/>
        <v/>
      </c>
      <c r="CI16" s="70" t="str">
        <f>IF($AF16="○",(VLOOKUP($CB16,参照データ!$D$65:$J$82,5,0)),"")</f>
        <v/>
      </c>
      <c r="CJ16" s="71" t="str">
        <f t="shared" si="5"/>
        <v/>
      </c>
      <c r="CK16" s="70" t="str">
        <f>IF($AH16="○",(VLOOKUP($CB16,参照データ!$D$65:$J$82,6,0)),"")</f>
        <v/>
      </c>
      <c r="CL16" s="71" t="str">
        <f t="shared" si="15"/>
        <v/>
      </c>
      <c r="CM16" s="33" t="str">
        <f t="shared" si="16"/>
        <v/>
      </c>
      <c r="CN16" s="32" t="str">
        <f t="shared" si="17"/>
        <v/>
      </c>
      <c r="CO16" s="71" t="str">
        <f t="shared" si="18"/>
        <v/>
      </c>
      <c r="CP16" s="681">
        <v>3</v>
      </c>
      <c r="CQ16" s="79" t="s">
        <v>89</v>
      </c>
      <c r="CR16" s="80" t="str">
        <f t="shared" si="19"/>
        <v/>
      </c>
      <c r="CS16" s="683" t="e">
        <f>IF($CR16&gt;$CR17,VLOOKUP($CR16,参照データ!$D$65:$J$82,7,0),VLOOKUP($CR17,参照データ!$D$65:$J$82,7,0))</f>
        <v>#N/A</v>
      </c>
      <c r="CT16" s="308" t="str">
        <f>IFERROR(VLOOKUP($CS16,参照データ!$J$65:$M$82,4,0),"")</f>
        <v/>
      </c>
      <c r="CU16" s="70"/>
      <c r="CV16" s="172" t="str">
        <f t="shared" si="20"/>
        <v/>
      </c>
      <c r="CX16" s="32"/>
      <c r="CY16" s="161" t="str">
        <f t="shared" si="21"/>
        <v/>
      </c>
      <c r="CZ16" s="743">
        <v>3</v>
      </c>
      <c r="DA16" s="166" t="s">
        <v>89</v>
      </c>
      <c r="DB16" s="167" t="str">
        <f t="shared" ref="DB16:DB71" si="42">IF(COUNTIF($CW$12:$CW$71,DA16)&gt;=1,VLOOKUP(DA16,$CW$12:$CX$71,2,0),"")</f>
        <v/>
      </c>
      <c r="DC16" s="741" t="str">
        <f>IF(OR(DB16="",DB17=""),"",IF(DB16&gt;DB17,DB16,DB17))</f>
        <v/>
      </c>
      <c r="DD16" t="str">
        <f>IF($DE16="","",DATEDIF($AW16,参照データ!$D$19,"Y"))</f>
        <v/>
      </c>
      <c r="DE16" s="253" t="str">
        <f>IFERROR(IF($AX16="男子",VLOOKUP($DL16,参照データ!$D$88:$E$117,2,0),$DL16),0)</f>
        <v/>
      </c>
      <c r="DF16" s="84" t="str">
        <f>IF($Z16="選手権",(VLOOKUP($DE16,参照データ!$D$88:$K$117,3,0)),"")</f>
        <v/>
      </c>
      <c r="DG16" s="85" t="str">
        <f t="shared" si="6"/>
        <v/>
      </c>
      <c r="DH16" s="84" t="str">
        <f>IF($AB16="選手権",(VLOOKUP($DE16,参照データ!$D$88:$K$117,4,0)),"")</f>
        <v/>
      </c>
      <c r="DI16" s="85" t="str">
        <f t="shared" si="7"/>
        <v/>
      </c>
      <c r="DJ16" s="84" t="str">
        <f>IF($AD16="選手権",(VLOOKUP($DE16,参照データ!$D$88:$K$117,5,0)),"")</f>
        <v/>
      </c>
      <c r="DK16" s="85" t="str">
        <f t="shared" si="8"/>
        <v/>
      </c>
      <c r="DL16" s="53" t="str">
        <f>IF(AND($AW16&gt;=参照データ!$C$90,$AW16&lt;=参照データ!$C$88),1,IF(AND($AW16&gt;=参照データ!$C$93,$AW16&lt;=参照データ!$C$91),2,IF(AND($AW16&gt;=参照データ!$C$99,$AW16&lt;=参照データ!$C$97),3,IF(AND($AW16&gt;=参照データ!$C$105,$AW16&lt;=参照データ!$C$103),4,IF(AND($AW16&gt;=参照データ!$C$111,$AW16&lt;=参照データ!$C$109),5,IF(AND($AW16&gt;0,$AW16&lt;=参照データ!$C$112),6,""))))))</f>
        <v/>
      </c>
      <c r="DM16" s="84" t="str">
        <f>IF($AF16="選手権",(VLOOKUP($DL16,参照データ!$D$88:$K$117,6,0)),"")</f>
        <v/>
      </c>
      <c r="DN16" s="85" t="str">
        <f t="shared" si="9"/>
        <v/>
      </c>
      <c r="DO16" s="84" t="str">
        <f>IF($AH16="選手権",(VLOOKUP($DL16,参照データ!$D$88:$K$117,7,0)),"")</f>
        <v/>
      </c>
      <c r="DP16" s="85" t="str">
        <f t="shared" si="22"/>
        <v/>
      </c>
      <c r="DQ16" s="33" t="str">
        <f t="shared" si="23"/>
        <v/>
      </c>
      <c r="DR16" s="32" t="str">
        <f t="shared" si="24"/>
        <v/>
      </c>
      <c r="DS16" s="85" t="str">
        <f t="shared" si="25"/>
        <v/>
      </c>
      <c r="DT16" s="736">
        <v>3</v>
      </c>
      <c r="DU16" s="93" t="s">
        <v>89</v>
      </c>
      <c r="DV16" s="94" t="str">
        <f t="shared" si="35"/>
        <v/>
      </c>
      <c r="DW16" s="737" t="e">
        <f>IF($DV16&gt;$DV17,VLOOKUP($DV16,参照データ!$D$88:$K$117,8,0),VLOOKUP($DV17,参照データ!$D$88:$K$117,8,0))</f>
        <v>#N/A</v>
      </c>
      <c r="DX16" s="312" t="str">
        <f>IFERROR(VLOOKUP($DW16,参照データ!$K$88:$O$117,5,0),"")</f>
        <v/>
      </c>
      <c r="DZ16" s="491" t="str">
        <f t="shared" si="26"/>
        <v/>
      </c>
      <c r="EE16" s="35">
        <f>(COUNTIF($J16:$O16,"&lt;&gt;"))*参照データ!$E$3</f>
        <v>0</v>
      </c>
      <c r="EF16" s="219" t="str">
        <f>IF($Y16="○",参照データ!$E$4,"")</f>
        <v/>
      </c>
      <c r="EG16" s="18">
        <f>(SUM(COUNTIF($R16:$V16,{"入門","初級"}))*参照データ!$E$9)+(SUM(COUNTIF($R16:$V16,{"中級","上級"})*参照データ!$E$10))</f>
        <v>0</v>
      </c>
      <c r="EH16" s="18">
        <f>IFERROR(VLOOKUP($W16,参照データ!$D$9:$J$11,7,0),0)</f>
        <v>0</v>
      </c>
      <c r="EI16" s="18">
        <f>((COUNTIF($Z16:$AH16,"○"))*参照データ!$E$12)</f>
        <v>0</v>
      </c>
      <c r="EJ16" s="18" t="str">
        <f>(IF($AJ16="○",参照データ!$J$12,""))</f>
        <v/>
      </c>
      <c r="EM16" s="18">
        <f>((COUNTIF($Z16:$AH16,"選手権"))*参照データ!$E$13)</f>
        <v>0</v>
      </c>
      <c r="EN16" s="18" t="str">
        <f>(IF($AJ16="選手権",参照データ!$J$13,""))</f>
        <v/>
      </c>
      <c r="EO16" s="18">
        <f>(COUNTIF($AQ16:$AR16,"&lt;&gt;"))*参照データ!$H$3</f>
        <v>0</v>
      </c>
      <c r="EP16" s="18"/>
      <c r="EQ16" s="98">
        <f t="array" ref="EQ16">SUM(IF(ISERROR(EE16:EN16),0,(EE16:EN16)))</f>
        <v>0</v>
      </c>
      <c r="ER16" s="18"/>
      <c r="ES16" s="18">
        <f t="shared" si="10"/>
        <v>0</v>
      </c>
      <c r="ET16" s="18">
        <f t="shared" si="36"/>
        <v>0</v>
      </c>
      <c r="EU16" s="18">
        <f t="shared" si="27"/>
        <v>0</v>
      </c>
      <c r="EV16" s="18">
        <f t="shared" si="28"/>
        <v>0</v>
      </c>
      <c r="EW16" s="18">
        <f t="shared" si="29"/>
        <v>0</v>
      </c>
      <c r="EX16" s="18">
        <f t="shared" si="30"/>
        <v>0</v>
      </c>
      <c r="EY16" t="str">
        <f t="shared" si="31"/>
        <v/>
      </c>
    </row>
    <row r="17" spans="1:155" ht="18.75" customHeight="1" x14ac:dyDescent="0.2">
      <c r="A17">
        <v>6</v>
      </c>
      <c r="B17" s="14" t="str">
        <f>IF(D17="","",IF(D17="重複","",COUNTIF(B$12:$B16,"&gt;0")+1))</f>
        <v/>
      </c>
      <c r="C17" s="464"/>
      <c r="D17" s="177"/>
      <c r="E17" s="177"/>
      <c r="F17" s="31"/>
      <c r="G17" s="41"/>
      <c r="H17" s="351">
        <f t="shared" si="32"/>
        <v>0</v>
      </c>
      <c r="I17" s="193" t="str">
        <f>IF($AW17=0,"",DATEDIF($AW17,参照データ!$D$16,"Y"))</f>
        <v/>
      </c>
      <c r="J17" s="517"/>
      <c r="K17" s="517"/>
      <c r="L17" s="517"/>
      <c r="M17" s="517"/>
      <c r="N17" s="517"/>
      <c r="O17" s="518"/>
      <c r="P17" s="345"/>
      <c r="Q17" s="345"/>
      <c r="R17" s="519"/>
      <c r="S17" s="244"/>
      <c r="T17" s="244"/>
      <c r="U17" s="244"/>
      <c r="V17" s="245"/>
      <c r="W17" s="247"/>
      <c r="X17" s="250"/>
      <c r="Y17" s="345"/>
      <c r="Z17" s="388"/>
      <c r="AA17" s="346" t="str">
        <f>IF($Z17="○",VLOOKUP($CB17,参照データ!$D$65:$M$82,9,0),IF($Z17="選手権",VLOOKUP($DE17,参照データ!$D$88:$O$117,10,0),""))</f>
        <v/>
      </c>
      <c r="AB17" s="388"/>
      <c r="AC17" s="346" t="str">
        <f>IF($AB17="○",VLOOKUP($CB17,参照データ!$D$65:$M$82,10,0),IF($AB17="選手権",VLOOKUP($DE17,参照データ!$D$88:$O$117,11,0),""))</f>
        <v/>
      </c>
      <c r="AD17" s="388"/>
      <c r="AE17" s="346" t="str">
        <f>IF($AD17="○",VLOOKUP($CB17,参照データ!$D$65:$M$82,10,0),IF($AD17="選手権",VLOOKUP($DE17,参照データ!$D$88:$O$117,11,0),""))</f>
        <v/>
      </c>
      <c r="AF17" s="388"/>
      <c r="AG17" s="346" t="str">
        <f>IF($AF17="○",VLOOKUP($CB17,参照データ!$D$65:$M$82,10,0),IF($AF17="選手権",VLOOKUP($DL17,参照データ!$D$88:$O$117,12,0),""))</f>
        <v/>
      </c>
      <c r="AH17" s="388"/>
      <c r="AI17" s="346" t="str">
        <f>IF($AH17="○",VLOOKUP($CB17,参照データ!$D$65:$M$82,10,0),IF($AH17="選手権",VLOOKUP($DL17,参照データ!$D$88:$O$117,12,0),""))</f>
        <v/>
      </c>
      <c r="AJ17" s="388"/>
      <c r="AK17" s="511"/>
      <c r="AL17" s="346" t="str">
        <f t="shared" si="3"/>
        <v/>
      </c>
      <c r="AM17" s="392"/>
      <c r="AN17" s="391"/>
      <c r="AO17" s="391"/>
      <c r="AP17" s="447"/>
      <c r="AQ17" s="321"/>
      <c r="AR17" s="481"/>
      <c r="AS17" s="393"/>
      <c r="AT17" s="483"/>
      <c r="AV17" s="1" t="s">
        <v>148</v>
      </c>
      <c r="AW17">
        <f>IF($D17="重複",VALUE($G16),VALUE($G17))</f>
        <v>0</v>
      </c>
      <c r="AX17" t="str">
        <f t="shared" si="33"/>
        <v/>
      </c>
      <c r="AY17" s="132"/>
      <c r="BA17" s="513" t="str">
        <f>IF(団体情報・入力の仕方!$C$3&lt;&gt;"大田区大会","",IF(AW17=0,"",IF(I17&gt;=18,"○","")))</f>
        <v/>
      </c>
      <c r="BB17" s="53" t="str">
        <f>IF($AW17=0,"",IF(AND($I17&gt;=6,$I17&lt;=19),VLOOKUP($I17,参照データ!$B$24:$C$37,2,0),IF($I17&lt;6,6,19)))</f>
        <v/>
      </c>
      <c r="BC17" s="155" t="str">
        <f>IF($J17="○",VLOOKUP($BB17,参照データ!$C$24:$I$37,2,0),"")</f>
        <v/>
      </c>
      <c r="BD17" s="146" t="str">
        <f>IF($K17="○",VLOOKUP($BB17,参照データ!$C$24:$I$37,3,0),"")</f>
        <v/>
      </c>
      <c r="BE17" s="146" t="str">
        <f>IF($L17="○",VLOOKUP($BB17,参照データ!$C$24:$I$37,4,0),"")</f>
        <v/>
      </c>
      <c r="BF17" s="146" t="str">
        <f>IF($M17="○",VLOOKUP($BB17,参照データ!$C$24:$I$37,5,0),"")</f>
        <v/>
      </c>
      <c r="BG17" s="146" t="str">
        <f>IF($N17="20日",VLOOKUP($BB17,参照データ!$C$24:$I$37,6,0),"")</f>
        <v/>
      </c>
      <c r="BH17" s="156" t="str">
        <f>IF($O17="20日",VLOOKUP($BB17,参照データ!$C$24:$I$37,7,0),"")</f>
        <v/>
      </c>
      <c r="BI17" s="155" t="str">
        <f>IF($J17="21日",VLOOKUP($BB17,参照データ!$C$24:$I$37,2,0),"")</f>
        <v/>
      </c>
      <c r="BJ17" s="146" t="str">
        <f>IF($K17="21日",VLOOKUP($BB17,参照データ!$C$24:$I$37,3,0),"")</f>
        <v/>
      </c>
      <c r="BK17" s="146" t="str">
        <f>IF($L17="21日",VLOOKUP($BB17,参照データ!$C$24:$I$37,4,0),"")</f>
        <v/>
      </c>
      <c r="BL17" s="146" t="str">
        <f>IF($M17="21日",VLOOKUP($BB17,参照データ!$C$24:$I$37,5,0),"")</f>
        <v/>
      </c>
      <c r="BM17" s="146" t="str">
        <f>IF($N17="21日",VLOOKUP($BB17,参照データ!$C$24:$I$37,6,0),"")</f>
        <v/>
      </c>
      <c r="BN17" s="156" t="str">
        <f>IF($O17="21日",VLOOKUP($BB17,参照データ!$C$24:$I$37,7,0),"")</f>
        <v/>
      </c>
      <c r="BO17" s="223" t="str">
        <f t="shared" si="40"/>
        <v/>
      </c>
      <c r="BP17" s="154" t="str">
        <f>IF($R17="入門",VLOOKUP($BB17,参照データ!$C$43:$U$56,2,0),IF($R17="初級",VLOOKUP($BB17,参照データ!$C$43:$U$56,3,0),IF($R17="中級",VLOOKUP($BB17,参照データ!$C$43:$U$56,4,0),IF($R17="上級",VLOOKUP($BB17,参照データ!$C$43:$U$56,5,0),""))))</f>
        <v/>
      </c>
      <c r="BQ17" s="154" t="str">
        <f>IF($S17="初級",VLOOKUP($BB17,参照データ!$C$43:$U$56,6,0),IF($S17="中級",VLOOKUP($BB17,参照データ!$C$43:$U$56,7,0),IF($S17="上級",VLOOKUP($BB17,参照データ!$C$43:$U$56,8,0),"")))</f>
        <v/>
      </c>
      <c r="BR17" s="154" t="str">
        <f>IF($T17="初級",VLOOKUP($BB17,参照データ!$C$43:$U$56,9,0),IF($T17="上級",VLOOKUP($BB17,参照データ!$C$43:$U$56,10,0),""))</f>
        <v/>
      </c>
      <c r="BS17" s="154" t="str">
        <f>IF($U17="初級",VLOOKUP($BB17,参照データ!$C$43:$U$56,11,0),IF($U17="中級",VLOOKUP($BB17,参照データ!$C$43:$U$56,12,0),IF($U17="上級",VLOOKUP($BB17,参照データ!$C$43:$U$56,13,0),"")))</f>
        <v/>
      </c>
      <c r="BT17" s="154" t="str">
        <f>IF($V17="初級",VLOOKUP($BB17,参照データ!$C$43:$U$56,14,0),IF($V17="中級",VLOOKUP($BB17,参照データ!$C$43:$U$56,15,0),IF($V17="上級",VLOOKUP($BB17,参照データ!$C$43:$U$56,16,0),"")))</f>
        <v/>
      </c>
      <c r="BU17" s="47" t="str">
        <f t="shared" si="4"/>
        <v/>
      </c>
      <c r="BV17" s="47" t="str">
        <f>IF($W17="初級",VLOOKUP($BB17,参照データ!$C$43:$U$56,17,0),IF($W17="中級",VLOOKUP($BB17,参照データ!$C$43:$U$56,18,0),IF($W17="上級",VLOOKUP($BB17,参照データ!$C$43:$U$56,19,0),"")))</f>
        <v/>
      </c>
      <c r="BW17" s="687"/>
      <c r="BX17" s="65" t="s">
        <v>90</v>
      </c>
      <c r="BY17" s="135" t="str">
        <f t="shared" si="11"/>
        <v/>
      </c>
      <c r="BZ17" s="689"/>
      <c r="CB17" s="53" t="str">
        <f>IF(AND($AW17&gt;=参照データ!$C$67,$AW17&lt;=参照データ!$C$65),1,IF(AND($AW17&gt;=参照データ!$C$70,$AW17&lt;=参照データ!$C$68),2,IF(AND($AW17&gt;=参照データ!$C$73,$AW17&lt;=参照データ!$C$71),3,IF(AND($AW17&gt;=参照データ!$C$76,$AW17&lt;=参照データ!$C$74),4,IF(AND($AW17&gt;=参照データ!$C$79,$AW17&lt;=参照データ!$C$77),5,IF(AND($AW17&gt;0,$AW17&lt;=参照データ!$C$80),6,""))))))</f>
        <v/>
      </c>
      <c r="CC17" s="141" t="str">
        <f>IF($Z17="○",(VLOOKUP($CB17,参照データ!$D$65:$J$82,2,0)),"")</f>
        <v/>
      </c>
      <c r="CD17" s="71" t="str">
        <f t="shared" si="12"/>
        <v/>
      </c>
      <c r="CE17" s="70" t="str">
        <f>IF($AB17="○",(VLOOKUP($CB17,参照データ!$D$65:$J$82,3,0)),"")</f>
        <v/>
      </c>
      <c r="CF17" s="71" t="str">
        <f t="shared" si="13"/>
        <v/>
      </c>
      <c r="CG17" s="70" t="str">
        <f>IF($AD17="○",(VLOOKUP($CB17,参照データ!$D$65:$J$82,4,0)),"")</f>
        <v/>
      </c>
      <c r="CH17" s="71" t="str">
        <f t="shared" si="14"/>
        <v/>
      </c>
      <c r="CI17" s="70" t="str">
        <f>IF($AF17="○",(VLOOKUP($CB17,参照データ!$D$65:$J$82,5,0)),"")</f>
        <v/>
      </c>
      <c r="CJ17" s="71" t="str">
        <f t="shared" si="5"/>
        <v/>
      </c>
      <c r="CK17" s="70" t="str">
        <f>IF($AH17="○",(VLOOKUP($CB17,参照データ!$D$65:$J$82,6,0)),"")</f>
        <v/>
      </c>
      <c r="CL17" s="71" t="str">
        <f t="shared" si="15"/>
        <v/>
      </c>
      <c r="CM17" s="33" t="str">
        <f t="shared" si="16"/>
        <v/>
      </c>
      <c r="CN17" s="32" t="str">
        <f t="shared" si="17"/>
        <v/>
      </c>
      <c r="CO17" s="71" t="str">
        <f t="shared" si="18"/>
        <v/>
      </c>
      <c r="CP17" s="682"/>
      <c r="CQ17" s="77" t="s">
        <v>90</v>
      </c>
      <c r="CR17" s="78" t="str">
        <f t="shared" si="19"/>
        <v/>
      </c>
      <c r="CS17" s="684"/>
      <c r="CT17" s="308" t="str">
        <f t="shared" ref="CT17" si="43">$CT16</f>
        <v/>
      </c>
      <c r="CU17" s="70"/>
      <c r="CV17" s="172" t="str">
        <f t="shared" si="20"/>
        <v/>
      </c>
      <c r="CX17" s="32"/>
      <c r="CY17" s="161" t="str">
        <f t="shared" si="21"/>
        <v/>
      </c>
      <c r="CZ17" s="744"/>
      <c r="DA17" s="164" t="s">
        <v>90</v>
      </c>
      <c r="DB17" s="165" t="str">
        <f t="shared" si="42"/>
        <v/>
      </c>
      <c r="DC17" s="742"/>
      <c r="DD17" t="str">
        <f>IF($DE17="","",DATEDIF($AW17,参照データ!$D$19,"Y"))</f>
        <v/>
      </c>
      <c r="DE17" s="253" t="str">
        <f>IFERROR(IF($AX17="男子",VLOOKUP($DL17,参照データ!$D$88:$E$117,2,0),$DL17),0)</f>
        <v/>
      </c>
      <c r="DF17" s="84" t="str">
        <f>IF($Z17="選手権",(VLOOKUP($DE17,参照データ!$D$88:$K$117,3,0)),"")</f>
        <v/>
      </c>
      <c r="DG17" s="85" t="str">
        <f t="shared" si="6"/>
        <v/>
      </c>
      <c r="DH17" s="84" t="str">
        <f>IF($AB17="選手権",(VLOOKUP($DE17,参照データ!$D$88:$K$117,4,0)),"")</f>
        <v/>
      </c>
      <c r="DI17" s="85" t="str">
        <f t="shared" si="7"/>
        <v/>
      </c>
      <c r="DJ17" s="84" t="str">
        <f>IF($AD17="選手権",(VLOOKUP($DE17,参照データ!$D$88:$K$117,5,0)),"")</f>
        <v/>
      </c>
      <c r="DK17" s="85" t="str">
        <f t="shared" si="8"/>
        <v/>
      </c>
      <c r="DL17" s="53" t="str">
        <f>IF(AND($AW17&gt;=参照データ!$C$90,$AW17&lt;=参照データ!$C$88),1,IF(AND($AW17&gt;=参照データ!$C$93,$AW17&lt;=参照データ!$C$91),2,IF(AND($AW17&gt;=参照データ!$C$99,$AW17&lt;=参照データ!$C$97),3,IF(AND($AW17&gt;=参照データ!$C$105,$AW17&lt;=参照データ!$C$103),4,IF(AND($AW17&gt;=参照データ!$C$111,$AW17&lt;=参照データ!$C$109),5,IF(AND($AW17&gt;0,$AW17&lt;=参照データ!$C$112),6,""))))))</f>
        <v/>
      </c>
      <c r="DM17" s="84" t="str">
        <f>IF($AF17="選手権",(VLOOKUP($DL17,参照データ!$D$88:$K$117,6,0)),"")</f>
        <v/>
      </c>
      <c r="DN17" s="85" t="str">
        <f t="shared" si="9"/>
        <v/>
      </c>
      <c r="DO17" s="84" t="str">
        <f>IF($AH17="選手権",(VLOOKUP($DL17,参照データ!$D$88:$K$117,7,0)),"")</f>
        <v/>
      </c>
      <c r="DP17" s="85" t="str">
        <f t="shared" si="22"/>
        <v/>
      </c>
      <c r="DQ17" s="33" t="str">
        <f t="shared" si="23"/>
        <v/>
      </c>
      <c r="DR17" s="32" t="str">
        <f t="shared" si="24"/>
        <v/>
      </c>
      <c r="DS17" s="85" t="str">
        <f t="shared" si="25"/>
        <v/>
      </c>
      <c r="DT17" s="733"/>
      <c r="DU17" s="91" t="s">
        <v>90</v>
      </c>
      <c r="DV17" s="92" t="str">
        <f t="shared" si="35"/>
        <v/>
      </c>
      <c r="DW17" s="735"/>
      <c r="DX17" s="312" t="str">
        <f t="shared" ref="DX17" si="44">$DX16</f>
        <v/>
      </c>
      <c r="DZ17" s="491" t="str">
        <f t="shared" si="26"/>
        <v/>
      </c>
      <c r="EE17" s="35">
        <f>(COUNTIF($J17:$O17,"&lt;&gt;"))*参照データ!$E$3</f>
        <v>0</v>
      </c>
      <c r="EF17" s="219" t="str">
        <f>IF($Y17="○",参照データ!$E$4,"")</f>
        <v/>
      </c>
      <c r="EG17" s="18">
        <f>(SUM(COUNTIF($R17:$V17,{"入門","初級"}))*参照データ!$E$9)+(SUM(COUNTIF($R17:$V17,{"中級","上級"})*参照データ!$E$10))</f>
        <v>0</v>
      </c>
      <c r="EH17" s="18">
        <f>IFERROR(VLOOKUP($W17,参照データ!$D$9:$J$11,7,0),0)</f>
        <v>0</v>
      </c>
      <c r="EI17" s="18">
        <f>((COUNTIF($Z17:$AH17,"○"))*参照データ!$E$12)</f>
        <v>0</v>
      </c>
      <c r="EJ17" s="18" t="str">
        <f>(IF($AJ17="○",参照データ!$J$12,""))</f>
        <v/>
      </c>
      <c r="EM17" s="18">
        <f>((COUNTIF($Z17:$AH17,"選手権"))*参照データ!$E$13)</f>
        <v>0</v>
      </c>
      <c r="EN17" s="18" t="str">
        <f>(IF($AJ17="選手権",参照データ!$J$13,""))</f>
        <v/>
      </c>
      <c r="EO17" s="18">
        <f>(COUNTIF($AQ17:$AR17,"&lt;&gt;"))*参照データ!$H$3</f>
        <v>0</v>
      </c>
      <c r="EP17" s="18"/>
      <c r="EQ17" s="98">
        <f t="array" ref="EQ17">SUM(IF(ISERROR(EE17:EN17),0,(EE17:EN17)))</f>
        <v>0</v>
      </c>
      <c r="ER17" s="18"/>
      <c r="ES17" s="18">
        <f t="shared" si="10"/>
        <v>0</v>
      </c>
      <c r="ET17" s="18">
        <f t="shared" si="36"/>
        <v>0</v>
      </c>
      <c r="EU17" s="18">
        <f t="shared" si="27"/>
        <v>0</v>
      </c>
      <c r="EV17" s="18">
        <f t="shared" si="28"/>
        <v>0</v>
      </c>
      <c r="EW17" s="18">
        <f t="shared" si="29"/>
        <v>0</v>
      </c>
      <c r="EX17" s="18">
        <f t="shared" si="30"/>
        <v>0</v>
      </c>
      <c r="EY17" t="str">
        <f t="shared" si="31"/>
        <v/>
      </c>
    </row>
    <row r="18" spans="1:155" ht="18.75" customHeight="1" x14ac:dyDescent="0.2">
      <c r="A18">
        <v>7</v>
      </c>
      <c r="B18" s="14" t="str">
        <f>IF(D18="","",IF(D18="重複","",COUNTIF(B$12:$B17,"&gt;0")+1))</f>
        <v/>
      </c>
      <c r="C18" s="464"/>
      <c r="D18" s="177"/>
      <c r="E18" s="177"/>
      <c r="F18" s="31"/>
      <c r="G18" s="41"/>
      <c r="H18" s="351">
        <f t="shared" si="32"/>
        <v>0</v>
      </c>
      <c r="I18" s="193" t="str">
        <f>IF($AW18=0,"",DATEDIF($AW18,参照データ!$D$16,"Y"))</f>
        <v/>
      </c>
      <c r="J18" s="517"/>
      <c r="K18" s="517"/>
      <c r="L18" s="517"/>
      <c r="M18" s="517"/>
      <c r="N18" s="517"/>
      <c r="O18" s="518"/>
      <c r="P18" s="345"/>
      <c r="Q18" s="345"/>
      <c r="R18" s="519"/>
      <c r="S18" s="244"/>
      <c r="T18" s="244"/>
      <c r="U18" s="244"/>
      <c r="V18" s="245"/>
      <c r="W18" s="247"/>
      <c r="X18" s="250"/>
      <c r="Y18" s="345"/>
      <c r="Z18" s="388"/>
      <c r="AA18" s="346" t="str">
        <f>IF($Z18="○",VLOOKUP($CB18,参照データ!$D$65:$M$82,9,0),IF($Z18="選手権",VLOOKUP($DE18,参照データ!$D$88:$O$117,10,0),""))</f>
        <v/>
      </c>
      <c r="AB18" s="388"/>
      <c r="AC18" s="346" t="str">
        <f>IF($AB18="○",VLOOKUP($CB18,参照データ!$D$65:$M$82,10,0),IF($AB18="選手権",VLOOKUP($DE18,参照データ!$D$88:$O$117,11,0),""))</f>
        <v/>
      </c>
      <c r="AD18" s="388"/>
      <c r="AE18" s="346" t="str">
        <f>IF($AD18="○",VLOOKUP($CB18,参照データ!$D$65:$M$82,10,0),IF($AD18="選手権",VLOOKUP($DE18,参照データ!$D$88:$O$117,11,0),""))</f>
        <v/>
      </c>
      <c r="AF18" s="388"/>
      <c r="AG18" s="346" t="str">
        <f>IF($AF18="○",VLOOKUP($CB18,参照データ!$D$65:$M$82,10,0),IF($AF18="選手権",VLOOKUP($DL18,参照データ!$D$88:$O$117,12,0),""))</f>
        <v/>
      </c>
      <c r="AH18" s="388"/>
      <c r="AI18" s="346" t="str">
        <f>IF($AH18="○",VLOOKUP($CB18,参照データ!$D$65:$M$82,10,0),IF($AH18="選手権",VLOOKUP($DL18,参照データ!$D$88:$O$117,12,0),""))</f>
        <v/>
      </c>
      <c r="AJ18" s="388"/>
      <c r="AK18" s="511"/>
      <c r="AL18" s="346" t="str">
        <f t="shared" si="3"/>
        <v/>
      </c>
      <c r="AM18" s="392"/>
      <c r="AN18" s="391"/>
      <c r="AO18" s="391"/>
      <c r="AP18" s="447"/>
      <c r="AQ18" s="321"/>
      <c r="AR18" s="481"/>
      <c r="AS18" s="393"/>
      <c r="AT18" s="483"/>
      <c r="AV18" s="1" t="s">
        <v>146</v>
      </c>
      <c r="AW18">
        <f t="shared" ref="AW18:AW71" si="45">IF($D18="重複",VALUE($G17),VALUE($G18))</f>
        <v>0</v>
      </c>
      <c r="AX18" t="str">
        <f t="shared" si="33"/>
        <v/>
      </c>
      <c r="AY18" s="132"/>
      <c r="BA18" s="513" t="str">
        <f>IF(団体情報・入力の仕方!$C$3&lt;&gt;"大田区大会","",IF(AW18=0,"",IF(I18&gt;=18,"○","")))</f>
        <v/>
      </c>
      <c r="BB18" s="53" t="str">
        <f>IF($AW18=0,"",IF(AND($I18&gt;=6,$I18&lt;=19),VLOOKUP($I18,参照データ!$B$24:$C$37,2,0),IF($I18&lt;6,6,19)))</f>
        <v/>
      </c>
      <c r="BC18" s="155" t="str">
        <f>IF($J18="○",VLOOKUP($BB18,参照データ!$C$24:$I$37,2,0),"")</f>
        <v/>
      </c>
      <c r="BD18" s="146" t="str">
        <f>IF($K18="○",VLOOKUP($BB18,参照データ!$C$24:$I$37,3,0),"")</f>
        <v/>
      </c>
      <c r="BE18" s="146" t="str">
        <f>IF($L18="○",VLOOKUP($BB18,参照データ!$C$24:$I$37,4,0),"")</f>
        <v/>
      </c>
      <c r="BF18" s="146" t="str">
        <f>IF($M18="○",VLOOKUP($BB18,参照データ!$C$24:$I$37,5,0),"")</f>
        <v/>
      </c>
      <c r="BG18" s="146" t="str">
        <f>IF($N18="20日",VLOOKUP($BB18,参照データ!$C$24:$I$37,6,0),"")</f>
        <v/>
      </c>
      <c r="BH18" s="156" t="str">
        <f>IF($O18="20日",VLOOKUP($BB18,参照データ!$C$24:$I$37,7,0),"")</f>
        <v/>
      </c>
      <c r="BI18" s="155" t="str">
        <f>IF($J18="21日",VLOOKUP($BB18,参照データ!$C$24:$I$37,2,0),"")</f>
        <v/>
      </c>
      <c r="BJ18" s="146" t="str">
        <f>IF($K18="21日",VLOOKUP($BB18,参照データ!$C$24:$I$37,3,0),"")</f>
        <v/>
      </c>
      <c r="BK18" s="146" t="str">
        <f>IF($L18="21日",VLOOKUP($BB18,参照データ!$C$24:$I$37,4,0),"")</f>
        <v/>
      </c>
      <c r="BL18" s="146" t="str">
        <f>IF($M18="21日",VLOOKUP($BB18,参照データ!$C$24:$I$37,5,0),"")</f>
        <v/>
      </c>
      <c r="BM18" s="146" t="str">
        <f>IF($N18="21日",VLOOKUP($BB18,参照データ!$C$24:$I$37,6,0),"")</f>
        <v/>
      </c>
      <c r="BN18" s="156" t="str">
        <f>IF($O18="21日",VLOOKUP($BB18,参照データ!$C$24:$I$37,7,0),"")</f>
        <v/>
      </c>
      <c r="BO18" s="223" t="str">
        <f t="shared" si="40"/>
        <v/>
      </c>
      <c r="BP18" s="154" t="str">
        <f>IF($R18="入門",VLOOKUP($BB18,参照データ!$C$43:$U$56,2,0),IF($R18="初級",VLOOKUP($BB18,参照データ!$C$43:$U$56,3,0),IF($R18="中級",VLOOKUP($BB18,参照データ!$C$43:$U$56,4,0),IF($R18="上級",VLOOKUP($BB18,参照データ!$C$43:$U$56,5,0),""))))</f>
        <v/>
      </c>
      <c r="BQ18" s="154" t="str">
        <f>IF($S18="初級",VLOOKUP($BB18,参照データ!$C$43:$U$56,6,0),IF($S18="中級",VLOOKUP($BB18,参照データ!$C$43:$U$56,7,0),IF($S18="上級",VLOOKUP($BB18,参照データ!$C$43:$U$56,8,0),"")))</f>
        <v/>
      </c>
      <c r="BR18" s="154" t="str">
        <f>IF($T18="初級",VLOOKUP($BB18,参照データ!$C$43:$U$56,9,0),IF($T18="上級",VLOOKUP($BB18,参照データ!$C$43:$U$56,10,0),""))</f>
        <v/>
      </c>
      <c r="BS18" s="154" t="str">
        <f>IF($U18="初級",VLOOKUP($BB18,参照データ!$C$43:$U$56,11,0),IF($U18="中級",VLOOKUP($BB18,参照データ!$C$43:$U$56,12,0),IF($U18="上級",VLOOKUP($BB18,参照データ!$C$43:$U$56,13,0),"")))</f>
        <v/>
      </c>
      <c r="BT18" s="154" t="str">
        <f>IF($V18="初級",VLOOKUP($BB18,参照データ!$C$43:$U$56,14,0),IF($V18="中級",VLOOKUP($BB18,参照データ!$C$43:$U$56,15,0),IF($V18="上級",VLOOKUP($BB18,参照データ!$C$43:$U$56,16,0),"")))</f>
        <v/>
      </c>
      <c r="BU18" s="47" t="str">
        <f t="shared" si="4"/>
        <v/>
      </c>
      <c r="BV18" s="47" t="str">
        <f>IF($W18="初級",VLOOKUP($BB18,参照データ!$C$43:$U$56,17,0),IF($W18="中級",VLOOKUP($BB18,参照データ!$C$43:$U$56,18,0),IF($W18="上級",VLOOKUP($BB18,参照データ!$C$43:$U$56,19,0),"")))</f>
        <v/>
      </c>
      <c r="BW18" s="686">
        <v>4</v>
      </c>
      <c r="BX18" s="66" t="s">
        <v>91</v>
      </c>
      <c r="BY18" s="136" t="str">
        <f t="shared" si="11"/>
        <v/>
      </c>
      <c r="BZ18" s="688" t="str">
        <f t="shared" ref="BZ18" si="46">IF(OR($BY18="",$BY19=""),"",IF($BY18&gt;$BY19,$BY18,$BY19))</f>
        <v/>
      </c>
      <c r="CB18" s="53" t="str">
        <f>IF(AND($AW18&gt;=参照データ!$C$67,$AW18&lt;=参照データ!$C$65),1,IF(AND($AW18&gt;=参照データ!$C$70,$AW18&lt;=参照データ!$C$68),2,IF(AND($AW18&gt;=参照データ!$C$73,$AW18&lt;=参照データ!$C$71),3,IF(AND($AW18&gt;=参照データ!$C$76,$AW18&lt;=参照データ!$C$74),4,IF(AND($AW18&gt;=参照データ!$C$79,$AW18&lt;=参照データ!$C$77),5,IF(AND($AW18&gt;0,$AW18&lt;=参照データ!$C$80),6,""))))))</f>
        <v/>
      </c>
      <c r="CC18" s="141" t="str">
        <f>IF($Z18="○",(VLOOKUP($CB18,参照データ!$D$65:$J$82,2,0)),"")</f>
        <v/>
      </c>
      <c r="CD18" s="71" t="str">
        <f t="shared" si="12"/>
        <v/>
      </c>
      <c r="CE18" s="70" t="str">
        <f>IF($AB18="○",(VLOOKUP($CB18,参照データ!$D$65:$J$82,3,0)),"")</f>
        <v/>
      </c>
      <c r="CF18" s="71" t="str">
        <f t="shared" si="13"/>
        <v/>
      </c>
      <c r="CG18" s="70" t="str">
        <f>IF($AD18="○",(VLOOKUP($CB18,参照データ!$D$65:$J$82,4,0)),"")</f>
        <v/>
      </c>
      <c r="CH18" s="71" t="str">
        <f t="shared" si="14"/>
        <v/>
      </c>
      <c r="CI18" s="70" t="str">
        <f>IF($AF18="○",(VLOOKUP($CB18,参照データ!$D$65:$J$82,5,0)),"")</f>
        <v/>
      </c>
      <c r="CJ18" s="71" t="str">
        <f t="shared" si="5"/>
        <v/>
      </c>
      <c r="CK18" s="70" t="str">
        <f>IF($AH18="○",(VLOOKUP($CB18,参照データ!$D$65:$J$82,6,0)),"")</f>
        <v/>
      </c>
      <c r="CL18" s="71" t="str">
        <f t="shared" si="15"/>
        <v/>
      </c>
      <c r="CM18" s="33" t="str">
        <f t="shared" si="16"/>
        <v/>
      </c>
      <c r="CN18" s="32" t="str">
        <f t="shared" si="17"/>
        <v/>
      </c>
      <c r="CO18" s="71" t="str">
        <f t="shared" si="18"/>
        <v/>
      </c>
      <c r="CP18" s="681">
        <v>4</v>
      </c>
      <c r="CQ18" s="79" t="s">
        <v>91</v>
      </c>
      <c r="CR18" s="80" t="str">
        <f t="shared" si="19"/>
        <v/>
      </c>
      <c r="CS18" s="683" t="e">
        <f>IF($CR18&gt;$CR19,VLOOKUP($CR18,参照データ!$D$65:$J$82,7,0),VLOOKUP($CR19,参照データ!$D$65:$J$82,7,0))</f>
        <v>#N/A</v>
      </c>
      <c r="CT18" s="308" t="str">
        <f>IFERROR(VLOOKUP($CS18,参照データ!$J$65:$M$82,4,0),"")</f>
        <v/>
      </c>
      <c r="CU18" s="70"/>
      <c r="CV18" s="172" t="str">
        <f t="shared" si="20"/>
        <v/>
      </c>
      <c r="CX18" s="32"/>
      <c r="CY18" s="161" t="str">
        <f t="shared" si="21"/>
        <v/>
      </c>
      <c r="CZ18" s="743">
        <v>4</v>
      </c>
      <c r="DA18" s="166" t="s">
        <v>91</v>
      </c>
      <c r="DB18" s="167" t="str">
        <f t="shared" si="42"/>
        <v/>
      </c>
      <c r="DC18" s="741" t="str">
        <f>IF(OR(DB18="",DB19=""),"",IF(DB18&gt;DB19,DB18,DB19))</f>
        <v/>
      </c>
      <c r="DD18" t="str">
        <f>IF($DE18="","",DATEDIF($AW18,参照データ!$D$19,"Y"))</f>
        <v/>
      </c>
      <c r="DE18" s="253" t="str">
        <f>IFERROR(IF($AX18="男子",VLOOKUP($DL18,参照データ!$D$88:$E$117,2,0),$DL18),0)</f>
        <v/>
      </c>
      <c r="DF18" s="84" t="str">
        <f>IF($Z18="選手権",(VLOOKUP($DE18,参照データ!$D$88:$K$117,3,0)),"")</f>
        <v/>
      </c>
      <c r="DG18" s="85" t="str">
        <f t="shared" si="6"/>
        <v/>
      </c>
      <c r="DH18" s="84" t="str">
        <f>IF($AB18="選手権",(VLOOKUP($DE18,参照データ!$D$88:$K$117,4,0)),"")</f>
        <v/>
      </c>
      <c r="DI18" s="85" t="str">
        <f t="shared" si="7"/>
        <v/>
      </c>
      <c r="DJ18" s="84" t="str">
        <f>IF($AD18="選手権",(VLOOKUP($DE18,参照データ!$D$88:$K$117,5,0)),"")</f>
        <v/>
      </c>
      <c r="DK18" s="85" t="str">
        <f t="shared" si="8"/>
        <v/>
      </c>
      <c r="DL18" s="53" t="str">
        <f>IF(AND($AW18&gt;=参照データ!$C$90,$AW18&lt;=参照データ!$C$88),1,IF(AND($AW18&gt;=参照データ!$C$93,$AW18&lt;=参照データ!$C$91),2,IF(AND($AW18&gt;=参照データ!$C$99,$AW18&lt;=参照データ!$C$97),3,IF(AND($AW18&gt;=参照データ!$C$105,$AW18&lt;=参照データ!$C$103),4,IF(AND($AW18&gt;=参照データ!$C$111,$AW18&lt;=参照データ!$C$109),5,IF(AND($AW18&gt;0,$AW18&lt;=参照データ!$C$112),6,""))))))</f>
        <v/>
      </c>
      <c r="DM18" s="84" t="str">
        <f>IF($AF18="選手権",(VLOOKUP($DL18,参照データ!$D$88:$K$117,6,0)),"")</f>
        <v/>
      </c>
      <c r="DN18" s="85" t="str">
        <f t="shared" si="9"/>
        <v/>
      </c>
      <c r="DO18" s="84" t="str">
        <f>IF($AH18="選手権",(VLOOKUP($DL18,参照データ!$D$88:$K$117,7,0)),"")</f>
        <v/>
      </c>
      <c r="DP18" s="85" t="str">
        <f t="shared" si="22"/>
        <v/>
      </c>
      <c r="DQ18" s="33" t="str">
        <f t="shared" si="23"/>
        <v/>
      </c>
      <c r="DR18" s="32" t="str">
        <f t="shared" si="24"/>
        <v/>
      </c>
      <c r="DS18" s="85" t="str">
        <f t="shared" si="25"/>
        <v/>
      </c>
      <c r="DT18" s="736">
        <v>4</v>
      </c>
      <c r="DU18" s="93" t="s">
        <v>91</v>
      </c>
      <c r="DV18" s="94" t="str">
        <f t="shared" si="35"/>
        <v/>
      </c>
      <c r="DW18" s="737" t="e">
        <f>IF($DV18&gt;$DV19,VLOOKUP($DV18,参照データ!$D$88:$K$117,8,0),VLOOKUP($DV19,参照データ!$D$88:$K$117,8,0))</f>
        <v>#N/A</v>
      </c>
      <c r="DX18" s="312" t="str">
        <f>IFERROR(VLOOKUP($DW18,参照データ!$K$88:$O$117,5,0),"")</f>
        <v/>
      </c>
      <c r="DZ18" s="491" t="str">
        <f t="shared" si="26"/>
        <v/>
      </c>
      <c r="EE18" s="35">
        <f>(COUNTIF($J18:$O18,"&lt;&gt;"))*参照データ!$E$3</f>
        <v>0</v>
      </c>
      <c r="EF18" s="219" t="str">
        <f>IF($Y18="○",参照データ!$E$4,"")</f>
        <v/>
      </c>
      <c r="EG18" s="18">
        <f>(SUM(COUNTIF($R18:$V18,{"入門","初級"}))*参照データ!$E$9)+(SUM(COUNTIF($R18:$V18,{"中級","上級"})*参照データ!$E$10))</f>
        <v>0</v>
      </c>
      <c r="EH18" s="18">
        <f>IFERROR(VLOOKUP($W18,参照データ!$D$9:$J$11,7,0),0)</f>
        <v>0</v>
      </c>
      <c r="EI18" s="18">
        <f>((COUNTIF($Z18:$AH18,"○"))*参照データ!$E$12)</f>
        <v>0</v>
      </c>
      <c r="EJ18" s="18" t="str">
        <f>(IF($AJ18="○",参照データ!$J$12,""))</f>
        <v/>
      </c>
      <c r="EM18" s="18">
        <f>((COUNTIF($Z18:$AH18,"選手権"))*参照データ!$E$13)</f>
        <v>0</v>
      </c>
      <c r="EN18" s="18" t="str">
        <f>(IF($AJ18="選手権",参照データ!$J$13,""))</f>
        <v/>
      </c>
      <c r="EO18" s="18">
        <f>(COUNTIF($AQ18:$AR18,"&lt;&gt;"))*参照データ!$H$3</f>
        <v>0</v>
      </c>
      <c r="EP18" s="18"/>
      <c r="EQ18" s="98">
        <f t="array" ref="EQ18">SUM(IF(ISERROR(EE18:EN18),0,(EE18:EN18)))</f>
        <v>0</v>
      </c>
      <c r="ER18" s="18"/>
      <c r="ES18" s="18">
        <f t="shared" si="10"/>
        <v>0</v>
      </c>
      <c r="ET18" s="18">
        <f t="shared" si="36"/>
        <v>0</v>
      </c>
      <c r="EU18" s="18">
        <f t="shared" si="27"/>
        <v>0</v>
      </c>
      <c r="EV18" s="18">
        <f t="shared" si="28"/>
        <v>0</v>
      </c>
      <c r="EW18" s="18">
        <f t="shared" si="29"/>
        <v>0</v>
      </c>
      <c r="EX18" s="18">
        <f t="shared" si="30"/>
        <v>0</v>
      </c>
      <c r="EY18" t="str">
        <f t="shared" si="31"/>
        <v/>
      </c>
    </row>
    <row r="19" spans="1:155" ht="18.75" customHeight="1" x14ac:dyDescent="0.2">
      <c r="A19">
        <v>8</v>
      </c>
      <c r="B19" s="14" t="str">
        <f>IF(D19="","",IF(D19="重複","",COUNTIF(B$12:$B18,"&gt;0")+1))</f>
        <v/>
      </c>
      <c r="C19" s="464"/>
      <c r="D19" s="177"/>
      <c r="E19" s="177"/>
      <c r="F19" s="31"/>
      <c r="G19" s="41"/>
      <c r="H19" s="351">
        <f t="shared" si="32"/>
        <v>0</v>
      </c>
      <c r="I19" s="193" t="str">
        <f>IF($AW19=0,"",DATEDIF($AW19,参照データ!$D$16,"Y"))</f>
        <v/>
      </c>
      <c r="J19" s="517"/>
      <c r="K19" s="517"/>
      <c r="L19" s="517"/>
      <c r="M19" s="517"/>
      <c r="N19" s="517"/>
      <c r="O19" s="518"/>
      <c r="P19" s="345"/>
      <c r="Q19" s="345"/>
      <c r="R19" s="519"/>
      <c r="S19" s="244"/>
      <c r="T19" s="244"/>
      <c r="U19" s="244"/>
      <c r="V19" s="245"/>
      <c r="W19" s="247"/>
      <c r="X19" s="250"/>
      <c r="Y19" s="345"/>
      <c r="Z19" s="388"/>
      <c r="AA19" s="346" t="str">
        <f>IF($Z19="○",VLOOKUP($CB19,参照データ!$D$65:$M$82,9,0),IF($Z19="選手権",VLOOKUP($DE19,参照データ!$D$88:$O$117,10,0),""))</f>
        <v/>
      </c>
      <c r="AB19" s="388"/>
      <c r="AC19" s="346" t="str">
        <f>IF($AB19="○",VLOOKUP($CB19,参照データ!$D$65:$M$82,10,0),IF($AB19="選手権",VLOOKUP($DE19,参照データ!$D$88:$O$117,11,0),""))</f>
        <v/>
      </c>
      <c r="AD19" s="388"/>
      <c r="AE19" s="346" t="str">
        <f>IF($AD19="○",VLOOKUP($CB19,参照データ!$D$65:$M$82,10,0),IF($AD19="選手権",VLOOKUP($DE19,参照データ!$D$88:$O$117,11,0),""))</f>
        <v/>
      </c>
      <c r="AF19" s="388"/>
      <c r="AG19" s="346" t="str">
        <f>IF($AF19="○",VLOOKUP($CB19,参照データ!$D$65:$M$82,10,0),IF($AF19="選手権",VLOOKUP($DL19,参照データ!$D$88:$O$117,12,0),""))</f>
        <v/>
      </c>
      <c r="AH19" s="388"/>
      <c r="AI19" s="346" t="str">
        <f>IF($AH19="○",VLOOKUP($CB19,参照データ!$D$65:$M$82,10,0),IF($AH19="選手権",VLOOKUP($DL19,参照データ!$D$88:$O$117,12,0),""))</f>
        <v/>
      </c>
      <c r="AJ19" s="388"/>
      <c r="AK19" s="511"/>
      <c r="AL19" s="346" t="str">
        <f t="shared" si="3"/>
        <v/>
      </c>
      <c r="AM19" s="392"/>
      <c r="AN19" s="391"/>
      <c r="AO19" s="391"/>
      <c r="AP19" s="447"/>
      <c r="AQ19" s="321"/>
      <c r="AR19" s="481"/>
      <c r="AS19" s="393"/>
      <c r="AT19" s="483"/>
      <c r="AV19" s="1" t="s">
        <v>148</v>
      </c>
      <c r="AW19">
        <f t="shared" si="45"/>
        <v>0</v>
      </c>
      <c r="AX19" t="str">
        <f t="shared" si="33"/>
        <v/>
      </c>
      <c r="AY19" s="132"/>
      <c r="BA19" s="513" t="str">
        <f>IF(団体情報・入力の仕方!$C$3&lt;&gt;"大田区大会","",IF(AW19=0,"",IF(I19&gt;=18,"○","")))</f>
        <v/>
      </c>
      <c r="BB19" s="53" t="str">
        <f>IF($AW19=0,"",IF(AND($I19&gt;=6,$I19&lt;=19),VLOOKUP($I19,参照データ!$B$24:$C$37,2,0),IF($I19&lt;6,6,19)))</f>
        <v/>
      </c>
      <c r="BC19" s="155" t="str">
        <f>IF($J19="○",VLOOKUP($BB19,参照データ!$C$24:$I$37,2,0),"")</f>
        <v/>
      </c>
      <c r="BD19" s="146" t="str">
        <f>IF($K19="○",VLOOKUP($BB19,参照データ!$C$24:$I$37,3,0),"")</f>
        <v/>
      </c>
      <c r="BE19" s="146" t="str">
        <f>IF($L19="○",VLOOKUP($BB19,参照データ!$C$24:$I$37,4,0),"")</f>
        <v/>
      </c>
      <c r="BF19" s="146" t="str">
        <f>IF($M19="○",VLOOKUP($BB19,参照データ!$C$24:$I$37,5,0),"")</f>
        <v/>
      </c>
      <c r="BG19" s="146" t="str">
        <f>IF($N19="20日",VLOOKUP($BB19,参照データ!$C$24:$I$37,6,0),"")</f>
        <v/>
      </c>
      <c r="BH19" s="156" t="str">
        <f>IF($O19="20日",VLOOKUP($BB19,参照データ!$C$24:$I$37,7,0),"")</f>
        <v/>
      </c>
      <c r="BI19" s="155" t="str">
        <f>IF($J19="21日",VLOOKUP($BB19,参照データ!$C$24:$I$37,2,0),"")</f>
        <v/>
      </c>
      <c r="BJ19" s="146" t="str">
        <f>IF($K19="21日",VLOOKUP($BB19,参照データ!$C$24:$I$37,3,0),"")</f>
        <v/>
      </c>
      <c r="BK19" s="146" t="str">
        <f>IF($L19="21日",VLOOKUP($BB19,参照データ!$C$24:$I$37,4,0),"")</f>
        <v/>
      </c>
      <c r="BL19" s="146" t="str">
        <f>IF($M19="21日",VLOOKUP($BB19,参照データ!$C$24:$I$37,5,0),"")</f>
        <v/>
      </c>
      <c r="BM19" s="146" t="str">
        <f>IF($N19="21日",VLOOKUP($BB19,参照データ!$C$24:$I$37,6,0),"")</f>
        <v/>
      </c>
      <c r="BN19" s="156" t="str">
        <f>IF($O19="21日",VLOOKUP($BB19,参照データ!$C$24:$I$37,7,0),"")</f>
        <v/>
      </c>
      <c r="BO19" s="223" t="str">
        <f t="shared" si="40"/>
        <v/>
      </c>
      <c r="BP19" s="154" t="str">
        <f>IF($R19="入門",VLOOKUP($BB19,参照データ!$C$43:$U$56,2,0),IF($R19="初級",VLOOKUP($BB19,参照データ!$C$43:$U$56,3,0),IF($R19="中級",VLOOKUP($BB19,参照データ!$C$43:$U$56,4,0),IF($R19="上級",VLOOKUP($BB19,参照データ!$C$43:$U$56,5,0),""))))</f>
        <v/>
      </c>
      <c r="BQ19" s="154" t="str">
        <f>IF($S19="初級",VLOOKUP($BB19,参照データ!$C$43:$U$56,6,0),IF($S19="中級",VLOOKUP($BB19,参照データ!$C$43:$U$56,7,0),IF($S19="上級",VLOOKUP($BB19,参照データ!$C$43:$U$56,8,0),"")))</f>
        <v/>
      </c>
      <c r="BR19" s="154" t="str">
        <f>IF($T19="初級",VLOOKUP($BB19,参照データ!$C$43:$U$56,9,0),IF($T19="上級",VLOOKUP($BB19,参照データ!$C$43:$U$56,10,0),""))</f>
        <v/>
      </c>
      <c r="BS19" s="154" t="str">
        <f>IF($U19="初級",VLOOKUP($BB19,参照データ!$C$43:$U$56,11,0),IF($U19="中級",VLOOKUP($BB19,参照データ!$C$43:$U$56,12,0),IF($U19="上級",VLOOKUP($BB19,参照データ!$C$43:$U$56,13,0),"")))</f>
        <v/>
      </c>
      <c r="BT19" s="154" t="str">
        <f>IF($V19="初級",VLOOKUP($BB19,参照データ!$C$43:$U$56,14,0),IF($V19="中級",VLOOKUP($BB19,参照データ!$C$43:$U$56,15,0),IF($V19="上級",VLOOKUP($BB19,参照データ!$C$43:$U$56,16,0),"")))</f>
        <v/>
      </c>
      <c r="BU19" s="47" t="str">
        <f t="shared" si="4"/>
        <v/>
      </c>
      <c r="BV19" s="47" t="str">
        <f>IF($W19="初級",VLOOKUP($BB19,参照データ!$C$43:$U$56,17,0),IF($W19="中級",VLOOKUP($BB19,参照データ!$C$43:$U$56,18,0),IF($W19="上級",VLOOKUP($BB19,参照データ!$C$43:$U$56,19,0),"")))</f>
        <v/>
      </c>
      <c r="BW19" s="687"/>
      <c r="BX19" s="65" t="s">
        <v>92</v>
      </c>
      <c r="BY19" s="135" t="str">
        <f t="shared" si="11"/>
        <v/>
      </c>
      <c r="BZ19" s="689"/>
      <c r="CB19" s="53" t="str">
        <f>IF(AND($AW19&gt;=参照データ!$C$67,$AW19&lt;=参照データ!$C$65),1,IF(AND($AW19&gt;=参照データ!$C$70,$AW19&lt;=参照データ!$C$68),2,IF(AND($AW19&gt;=参照データ!$C$73,$AW19&lt;=参照データ!$C$71),3,IF(AND($AW19&gt;=参照データ!$C$76,$AW19&lt;=参照データ!$C$74),4,IF(AND($AW19&gt;=参照データ!$C$79,$AW19&lt;=参照データ!$C$77),5,IF(AND($AW19&gt;0,$AW19&lt;=参照データ!$C$80),6,""))))))</f>
        <v/>
      </c>
      <c r="CC19" s="141" t="str">
        <f>IF($Z19="○",(VLOOKUP($CB19,参照データ!$D$65:$J$82,2,0)),"")</f>
        <v/>
      </c>
      <c r="CD19" s="71" t="str">
        <f t="shared" si="12"/>
        <v/>
      </c>
      <c r="CE19" s="70" t="str">
        <f>IF($AB19="○",(VLOOKUP($CB19,参照データ!$D$65:$J$82,3,0)),"")</f>
        <v/>
      </c>
      <c r="CF19" s="71" t="str">
        <f t="shared" si="13"/>
        <v/>
      </c>
      <c r="CG19" s="70" t="str">
        <f>IF($AD19="○",(VLOOKUP($CB19,参照データ!$D$65:$J$82,4,0)),"")</f>
        <v/>
      </c>
      <c r="CH19" s="71" t="str">
        <f t="shared" si="14"/>
        <v/>
      </c>
      <c r="CI19" s="70" t="str">
        <f>IF($AF19="○",(VLOOKUP($CB19,参照データ!$D$65:$J$82,5,0)),"")</f>
        <v/>
      </c>
      <c r="CJ19" s="71" t="str">
        <f t="shared" si="5"/>
        <v/>
      </c>
      <c r="CK19" s="70" t="str">
        <f>IF($AH19="○",(VLOOKUP($CB19,参照データ!$D$65:$J$82,6,0)),"")</f>
        <v/>
      </c>
      <c r="CL19" s="71" t="str">
        <f t="shared" si="15"/>
        <v/>
      </c>
      <c r="CM19" s="33" t="str">
        <f t="shared" si="16"/>
        <v/>
      </c>
      <c r="CN19" s="32" t="str">
        <f t="shared" si="17"/>
        <v/>
      </c>
      <c r="CO19" s="71" t="str">
        <f t="shared" si="18"/>
        <v/>
      </c>
      <c r="CP19" s="682"/>
      <c r="CQ19" s="77" t="s">
        <v>92</v>
      </c>
      <c r="CR19" s="78" t="str">
        <f t="shared" si="19"/>
        <v/>
      </c>
      <c r="CS19" s="684"/>
      <c r="CT19" s="308" t="str">
        <f t="shared" ref="CT19" si="47">$CT18</f>
        <v/>
      </c>
      <c r="CU19" s="70"/>
      <c r="CV19" s="172" t="str">
        <f t="shared" si="20"/>
        <v/>
      </c>
      <c r="CX19" s="32"/>
      <c r="CY19" s="161" t="str">
        <f t="shared" si="21"/>
        <v/>
      </c>
      <c r="CZ19" s="744"/>
      <c r="DA19" s="164" t="s">
        <v>92</v>
      </c>
      <c r="DB19" s="165" t="str">
        <f t="shared" si="42"/>
        <v/>
      </c>
      <c r="DC19" s="742"/>
      <c r="DD19" t="str">
        <f>IF($DE19="","",DATEDIF($AW19,参照データ!$D$19,"Y"))</f>
        <v/>
      </c>
      <c r="DE19" s="253" t="str">
        <f>IFERROR(IF($AX19="男子",VLOOKUP($DL19,参照データ!$D$88:$E$117,2,0),$DL19),0)</f>
        <v/>
      </c>
      <c r="DF19" s="84" t="str">
        <f>IF($Z19="選手権",(VLOOKUP($DE19,参照データ!$D$88:$K$117,3,0)),"")</f>
        <v/>
      </c>
      <c r="DG19" s="85" t="str">
        <f t="shared" si="6"/>
        <v/>
      </c>
      <c r="DH19" s="84" t="str">
        <f>IF($AB19="選手権",(VLOOKUP($DE19,参照データ!$D$88:$K$117,4,0)),"")</f>
        <v/>
      </c>
      <c r="DI19" s="85" t="str">
        <f t="shared" si="7"/>
        <v/>
      </c>
      <c r="DJ19" s="84" t="str">
        <f>IF($AD19="選手権",(VLOOKUP($DE19,参照データ!$D$88:$K$117,5,0)),"")</f>
        <v/>
      </c>
      <c r="DK19" s="85" t="str">
        <f t="shared" si="8"/>
        <v/>
      </c>
      <c r="DL19" s="53" t="str">
        <f>IF(AND($AW19&gt;=参照データ!$C$90,$AW19&lt;=参照データ!$C$88),1,IF(AND($AW19&gt;=参照データ!$C$93,$AW19&lt;=参照データ!$C$91),2,IF(AND($AW19&gt;=参照データ!$C$99,$AW19&lt;=参照データ!$C$97),3,IF(AND($AW19&gt;=参照データ!$C$105,$AW19&lt;=参照データ!$C$103),4,IF(AND($AW19&gt;=参照データ!$C$111,$AW19&lt;=参照データ!$C$109),5,IF(AND($AW19&gt;0,$AW19&lt;=参照データ!$C$112),6,""))))))</f>
        <v/>
      </c>
      <c r="DM19" s="84" t="str">
        <f>IF($AF19="選手権",(VLOOKUP($DL19,参照データ!$D$88:$K$117,6,0)),"")</f>
        <v/>
      </c>
      <c r="DN19" s="85" t="str">
        <f t="shared" si="9"/>
        <v/>
      </c>
      <c r="DO19" s="84" t="str">
        <f>IF($AH19="選手権",(VLOOKUP($DL19,参照データ!$D$88:$K$117,7,0)),"")</f>
        <v/>
      </c>
      <c r="DP19" s="85" t="str">
        <f t="shared" si="22"/>
        <v/>
      </c>
      <c r="DQ19" s="33" t="str">
        <f t="shared" si="23"/>
        <v/>
      </c>
      <c r="DR19" s="32" t="str">
        <f t="shared" si="24"/>
        <v/>
      </c>
      <c r="DS19" s="85" t="str">
        <f t="shared" si="25"/>
        <v/>
      </c>
      <c r="DT19" s="733"/>
      <c r="DU19" s="91" t="s">
        <v>92</v>
      </c>
      <c r="DV19" s="92" t="str">
        <f t="shared" si="35"/>
        <v/>
      </c>
      <c r="DW19" s="735"/>
      <c r="DX19" s="312" t="str">
        <f t="shared" ref="DX19" si="48">$DX18</f>
        <v/>
      </c>
      <c r="DZ19" s="491" t="str">
        <f t="shared" si="26"/>
        <v/>
      </c>
      <c r="EE19" s="35">
        <f>(COUNTIF($J19:$O19,"&lt;&gt;"))*参照データ!$E$3</f>
        <v>0</v>
      </c>
      <c r="EF19" s="219" t="str">
        <f>IF($Y19="○",参照データ!$E$4,"")</f>
        <v/>
      </c>
      <c r="EG19" s="18">
        <f>(SUM(COUNTIF($R19:$V19,{"入門","初級"}))*参照データ!$E$9)+(SUM(COUNTIF($R19:$V19,{"中級","上級"})*参照データ!$E$10))</f>
        <v>0</v>
      </c>
      <c r="EH19" s="18">
        <f>IFERROR(VLOOKUP($W19,参照データ!$D$9:$J$11,7,0),0)</f>
        <v>0</v>
      </c>
      <c r="EI19" s="18">
        <f>((COUNTIF($Z19:$AH19,"○"))*参照データ!$E$12)</f>
        <v>0</v>
      </c>
      <c r="EJ19" s="18" t="str">
        <f>(IF($AJ19="○",参照データ!$J$12,""))</f>
        <v/>
      </c>
      <c r="EM19" s="18">
        <f>((COUNTIF($Z19:$AH19,"選手権"))*参照データ!$E$13)</f>
        <v>0</v>
      </c>
      <c r="EN19" s="18" t="str">
        <f>(IF($AJ19="選手権",参照データ!$J$13,""))</f>
        <v/>
      </c>
      <c r="EO19" s="18">
        <f>(COUNTIF($AQ19:$AR19,"&lt;&gt;"))*参照データ!$H$3</f>
        <v>0</v>
      </c>
      <c r="EP19" s="18"/>
      <c r="EQ19" s="98">
        <f t="array" ref="EQ19">SUM(IF(ISERROR(EE19:EN19),0,(EE19:EN19)))</f>
        <v>0</v>
      </c>
      <c r="ER19" s="18"/>
      <c r="ES19" s="18">
        <f t="shared" si="10"/>
        <v>0</v>
      </c>
      <c r="ET19" s="18">
        <f t="shared" si="36"/>
        <v>0</v>
      </c>
      <c r="EU19" s="18">
        <f t="shared" si="27"/>
        <v>0</v>
      </c>
      <c r="EV19" s="18">
        <f t="shared" si="28"/>
        <v>0</v>
      </c>
      <c r="EW19" s="18">
        <f t="shared" si="29"/>
        <v>0</v>
      </c>
      <c r="EX19" s="18">
        <f t="shared" si="30"/>
        <v>0</v>
      </c>
      <c r="EY19" t="str">
        <f t="shared" si="31"/>
        <v/>
      </c>
    </row>
    <row r="20" spans="1:155" ht="18.75" customHeight="1" x14ac:dyDescent="0.2">
      <c r="A20">
        <v>9</v>
      </c>
      <c r="B20" s="14" t="str">
        <f>IF(D20="","",IF(D20="重複","",COUNTIF(B$12:$B19,"&gt;0")+1))</f>
        <v/>
      </c>
      <c r="C20" s="464"/>
      <c r="D20" s="177"/>
      <c r="E20" s="177"/>
      <c r="F20" s="31"/>
      <c r="G20" s="41"/>
      <c r="H20" s="351">
        <f t="shared" si="32"/>
        <v>0</v>
      </c>
      <c r="I20" s="193" t="str">
        <f>IF($AW20=0,"",DATEDIF($AW20,参照データ!$D$16,"Y"))</f>
        <v/>
      </c>
      <c r="J20" s="517"/>
      <c r="K20" s="517"/>
      <c r="L20" s="517"/>
      <c r="M20" s="517"/>
      <c r="N20" s="517"/>
      <c r="O20" s="518"/>
      <c r="P20" s="345"/>
      <c r="Q20" s="345"/>
      <c r="R20" s="519"/>
      <c r="S20" s="244"/>
      <c r="T20" s="244"/>
      <c r="U20" s="244"/>
      <c r="V20" s="245"/>
      <c r="W20" s="247"/>
      <c r="X20" s="250"/>
      <c r="Y20" s="345"/>
      <c r="Z20" s="388"/>
      <c r="AA20" s="346" t="str">
        <f>IF($Z20="○",VLOOKUP($CB20,参照データ!$D$65:$M$82,9,0),IF($Z20="選手権",VLOOKUP($DE20,参照データ!$D$88:$O$117,10,0),""))</f>
        <v/>
      </c>
      <c r="AB20" s="388"/>
      <c r="AC20" s="346" t="str">
        <f>IF($AB20="○",VLOOKUP($CB20,参照データ!$D$65:$M$82,10,0),IF($AB20="選手権",VLOOKUP($DE20,参照データ!$D$88:$O$117,11,0),""))</f>
        <v/>
      </c>
      <c r="AD20" s="388"/>
      <c r="AE20" s="346" t="str">
        <f>IF($AD20="○",VLOOKUP($CB20,参照データ!$D$65:$M$82,10,0),IF($AD20="選手権",VLOOKUP($DE20,参照データ!$D$88:$O$117,11,0),""))</f>
        <v/>
      </c>
      <c r="AF20" s="388"/>
      <c r="AG20" s="346" t="str">
        <f>IF($AF20="○",VLOOKUP($CB20,参照データ!$D$65:$M$82,10,0),IF($AF20="選手権",VLOOKUP($DL20,参照データ!$D$88:$O$117,12,0),""))</f>
        <v/>
      </c>
      <c r="AH20" s="388"/>
      <c r="AI20" s="346" t="str">
        <f>IF($AH20="○",VLOOKUP($CB20,参照データ!$D$65:$M$82,10,0),IF($AH20="選手権",VLOOKUP($DL20,参照データ!$D$88:$O$117,12,0),""))</f>
        <v/>
      </c>
      <c r="AJ20" s="388"/>
      <c r="AK20" s="511"/>
      <c r="AL20" s="346" t="str">
        <f t="shared" si="3"/>
        <v/>
      </c>
      <c r="AM20" s="392"/>
      <c r="AN20" s="391"/>
      <c r="AO20" s="391"/>
      <c r="AP20" s="447"/>
      <c r="AQ20" s="321"/>
      <c r="AR20" s="481"/>
      <c r="AS20" s="393"/>
      <c r="AT20" s="483"/>
      <c r="AV20" s="1"/>
      <c r="AW20">
        <f t="shared" si="45"/>
        <v>0</v>
      </c>
      <c r="AX20" t="str">
        <f t="shared" si="33"/>
        <v/>
      </c>
      <c r="AY20" s="132"/>
      <c r="BA20" s="513" t="str">
        <f>IF(団体情報・入力の仕方!$C$3&lt;&gt;"大田区大会","",IF(AW20=0,"",IF(I20&gt;=18,"○","")))</f>
        <v/>
      </c>
      <c r="BB20" s="53" t="str">
        <f>IF($AW20=0,"",IF(AND($I20&gt;=6,$I20&lt;=19),VLOOKUP($I20,参照データ!$B$24:$C$37,2,0),IF($I20&lt;6,6,19)))</f>
        <v/>
      </c>
      <c r="BC20" s="155" t="str">
        <f>IF($J20="○",VLOOKUP($BB20,参照データ!$C$24:$I$37,2,0),"")</f>
        <v/>
      </c>
      <c r="BD20" s="146" t="str">
        <f>IF($K20="○",VLOOKUP($BB20,参照データ!$C$24:$I$37,3,0),"")</f>
        <v/>
      </c>
      <c r="BE20" s="146" t="str">
        <f>IF($L20="○",VLOOKUP($BB20,参照データ!$C$24:$I$37,4,0),"")</f>
        <v/>
      </c>
      <c r="BF20" s="146" t="str">
        <f>IF($M20="○",VLOOKUP($BB20,参照データ!$C$24:$I$37,5,0),"")</f>
        <v/>
      </c>
      <c r="BG20" s="146" t="str">
        <f>IF($N20="20日",VLOOKUP($BB20,参照データ!$C$24:$I$37,6,0),"")</f>
        <v/>
      </c>
      <c r="BH20" s="156" t="str">
        <f>IF($O20="20日",VLOOKUP($BB20,参照データ!$C$24:$I$37,7,0),"")</f>
        <v/>
      </c>
      <c r="BI20" s="155" t="str">
        <f>IF($J20="21日",VLOOKUP($BB20,参照データ!$C$24:$I$37,2,0),"")</f>
        <v/>
      </c>
      <c r="BJ20" s="146" t="str">
        <f>IF($K20="21日",VLOOKUP($BB20,参照データ!$C$24:$I$37,3,0),"")</f>
        <v/>
      </c>
      <c r="BK20" s="146" t="str">
        <f>IF($L20="21日",VLOOKUP($BB20,参照データ!$C$24:$I$37,4,0),"")</f>
        <v/>
      </c>
      <c r="BL20" s="146" t="str">
        <f>IF($M20="21日",VLOOKUP($BB20,参照データ!$C$24:$I$37,5,0),"")</f>
        <v/>
      </c>
      <c r="BM20" s="146" t="str">
        <f>IF($N20="21日",VLOOKUP($BB20,参照データ!$C$24:$I$37,6,0),"")</f>
        <v/>
      </c>
      <c r="BN20" s="156" t="str">
        <f>IF($O20="21日",VLOOKUP($BB20,参照データ!$C$24:$I$37,7,0),"")</f>
        <v/>
      </c>
      <c r="BO20" s="223" t="str">
        <f t="shared" si="40"/>
        <v/>
      </c>
      <c r="BP20" s="154" t="str">
        <f>IF($R20="入門",VLOOKUP($BB20,参照データ!$C$43:$U$56,2,0),IF($R20="初級",VLOOKUP($BB20,参照データ!$C$43:$U$56,3,0),IF($R20="中級",VLOOKUP($BB20,参照データ!$C$43:$U$56,4,0),IF($R20="上級",VLOOKUP($BB20,参照データ!$C$43:$U$56,5,0),""))))</f>
        <v/>
      </c>
      <c r="BQ20" s="154" t="str">
        <f>IF($S20="初級",VLOOKUP($BB20,参照データ!$C$43:$U$56,6,0),IF($S20="中級",VLOOKUP($BB20,参照データ!$C$43:$U$56,7,0),IF($S20="上級",VLOOKUP($BB20,参照データ!$C$43:$U$56,8,0),"")))</f>
        <v/>
      </c>
      <c r="BR20" s="154" t="str">
        <f>IF($T20="初級",VLOOKUP($BB20,参照データ!$C$43:$U$56,9,0),IF($T20="上級",VLOOKUP($BB20,参照データ!$C$43:$U$56,10,0),""))</f>
        <v/>
      </c>
      <c r="BS20" s="154" t="str">
        <f>IF($U20="初級",VLOOKUP($BB20,参照データ!$C$43:$U$56,11,0),IF($U20="中級",VLOOKUP($BB20,参照データ!$C$43:$U$56,12,0),IF($U20="上級",VLOOKUP($BB20,参照データ!$C$43:$U$56,13,0),"")))</f>
        <v/>
      </c>
      <c r="BT20" s="154" t="str">
        <f>IF($V20="初級",VLOOKUP($BB20,参照データ!$C$43:$U$56,14,0),IF($V20="中級",VLOOKUP($BB20,参照データ!$C$43:$U$56,15,0),IF($V20="上級",VLOOKUP($BB20,参照データ!$C$43:$U$56,16,0),"")))</f>
        <v/>
      </c>
      <c r="BU20" s="47" t="str">
        <f t="shared" si="4"/>
        <v/>
      </c>
      <c r="BV20" s="47" t="str">
        <f>IF($W20="初級",VLOOKUP($BB20,参照データ!$C$43:$U$56,17,0),IF($W20="中級",VLOOKUP($BB20,参照データ!$C$43:$U$56,18,0),IF($W20="上級",VLOOKUP($BB20,参照データ!$C$43:$U$56,19,0),"")))</f>
        <v/>
      </c>
      <c r="BW20" s="686">
        <v>5</v>
      </c>
      <c r="BX20" s="66" t="s">
        <v>93</v>
      </c>
      <c r="BY20" s="136" t="str">
        <f t="shared" si="11"/>
        <v/>
      </c>
      <c r="BZ20" s="688" t="str">
        <f t="shared" ref="BZ20" si="49">IF(OR($BY20="",$BY21=""),"",IF($BY20&gt;$BY21,$BY20,$BY21))</f>
        <v/>
      </c>
      <c r="CB20" s="53" t="str">
        <f>IF(AND($AW20&gt;=参照データ!$C$67,$AW20&lt;=参照データ!$C$65),1,IF(AND($AW20&gt;=参照データ!$C$70,$AW20&lt;=参照データ!$C$68),2,IF(AND($AW20&gt;=参照データ!$C$73,$AW20&lt;=参照データ!$C$71),3,IF(AND($AW20&gt;=参照データ!$C$76,$AW20&lt;=参照データ!$C$74),4,IF(AND($AW20&gt;=参照データ!$C$79,$AW20&lt;=参照データ!$C$77),5,IF(AND($AW20&gt;0,$AW20&lt;=参照データ!$C$80),6,""))))))</f>
        <v/>
      </c>
      <c r="CC20" s="141" t="str">
        <f>IF($Z20="○",(VLOOKUP($CB20,参照データ!$D$65:$J$82,2,0)),"")</f>
        <v/>
      </c>
      <c r="CD20" s="71" t="str">
        <f t="shared" si="12"/>
        <v/>
      </c>
      <c r="CE20" s="70" t="str">
        <f>IF($AB20="○",(VLOOKUP($CB20,参照データ!$D$65:$J$82,3,0)),"")</f>
        <v/>
      </c>
      <c r="CF20" s="71" t="str">
        <f t="shared" si="13"/>
        <v/>
      </c>
      <c r="CG20" s="70" t="str">
        <f>IF($AD20="○",(VLOOKUP($CB20,参照データ!$D$65:$J$82,4,0)),"")</f>
        <v/>
      </c>
      <c r="CH20" s="71" t="str">
        <f t="shared" si="14"/>
        <v/>
      </c>
      <c r="CI20" s="70" t="str">
        <f>IF($AF20="○",(VLOOKUP($CB20,参照データ!$D$65:$J$82,5,0)),"")</f>
        <v/>
      </c>
      <c r="CJ20" s="71" t="str">
        <f t="shared" si="5"/>
        <v/>
      </c>
      <c r="CK20" s="70" t="str">
        <f>IF($AH20="○",(VLOOKUP($CB20,参照データ!$D$65:$J$82,6,0)),"")</f>
        <v/>
      </c>
      <c r="CL20" s="71" t="str">
        <f t="shared" si="15"/>
        <v/>
      </c>
      <c r="CM20" s="33" t="str">
        <f t="shared" si="16"/>
        <v/>
      </c>
      <c r="CN20" s="32" t="str">
        <f t="shared" si="17"/>
        <v/>
      </c>
      <c r="CO20" s="71" t="str">
        <f t="shared" si="18"/>
        <v/>
      </c>
      <c r="CP20" s="681">
        <v>5</v>
      </c>
      <c r="CQ20" s="79" t="s">
        <v>93</v>
      </c>
      <c r="CR20" s="80" t="str">
        <f t="shared" si="19"/>
        <v/>
      </c>
      <c r="CS20" s="683" t="e">
        <f>IF($CR20&gt;$CR21,VLOOKUP($CR20,参照データ!$D$65:$J$82,7,0),VLOOKUP($CR21,参照データ!$D$65:$J$82,7,0))</f>
        <v>#N/A</v>
      </c>
      <c r="CT20" s="308" t="str">
        <f>IFERROR(VLOOKUP($CS20,参照データ!$J$65:$M$82,4,0),"")</f>
        <v/>
      </c>
      <c r="CU20" s="70"/>
      <c r="CV20" s="172" t="str">
        <f t="shared" si="20"/>
        <v/>
      </c>
      <c r="CX20" s="32"/>
      <c r="CY20" s="161" t="str">
        <f t="shared" si="21"/>
        <v/>
      </c>
      <c r="CZ20" s="743">
        <v>5</v>
      </c>
      <c r="DA20" s="166" t="s">
        <v>93</v>
      </c>
      <c r="DB20" s="167" t="str">
        <f t="shared" si="42"/>
        <v/>
      </c>
      <c r="DC20" s="741" t="str">
        <f>IF(OR(DB20="",DB21=""),"",IF(DB20&gt;DB21,DB20,DB21))</f>
        <v/>
      </c>
      <c r="DD20" t="str">
        <f>IF($DE20="","",DATEDIF($AW20,参照データ!$D$19,"Y"))</f>
        <v/>
      </c>
      <c r="DE20" s="253" t="str">
        <f>IFERROR(IF($AX20="男子",VLOOKUP($DL20,参照データ!$D$88:$E$117,2,0),$DL20),0)</f>
        <v/>
      </c>
      <c r="DF20" s="84" t="str">
        <f>IF($Z20="選手権",(VLOOKUP($DE20,参照データ!$D$88:$K$117,3,0)),"")</f>
        <v/>
      </c>
      <c r="DG20" s="85" t="str">
        <f t="shared" si="6"/>
        <v/>
      </c>
      <c r="DH20" s="84" t="str">
        <f>IF($AB20="選手権",(VLOOKUP($DE20,参照データ!$D$88:$K$117,4,0)),"")</f>
        <v/>
      </c>
      <c r="DI20" s="85" t="str">
        <f t="shared" si="7"/>
        <v/>
      </c>
      <c r="DJ20" s="84" t="str">
        <f>IF($AD20="選手権",(VLOOKUP($DE20,参照データ!$D$88:$K$117,5,0)),"")</f>
        <v/>
      </c>
      <c r="DK20" s="85" t="str">
        <f t="shared" si="8"/>
        <v/>
      </c>
      <c r="DL20" s="53" t="str">
        <f>IF(AND($AW20&gt;=参照データ!$C$90,$AW20&lt;=参照データ!$C$88),1,IF(AND($AW20&gt;=参照データ!$C$93,$AW20&lt;=参照データ!$C$91),2,IF(AND($AW20&gt;=参照データ!$C$99,$AW20&lt;=参照データ!$C$97),3,IF(AND($AW20&gt;=参照データ!$C$105,$AW20&lt;=参照データ!$C$103),4,IF(AND($AW20&gt;=参照データ!$C$111,$AW20&lt;=参照データ!$C$109),5,IF(AND($AW20&gt;0,$AW20&lt;=参照データ!$C$112),6,""))))))</f>
        <v/>
      </c>
      <c r="DM20" s="84" t="str">
        <f>IF($AF20="選手権",(VLOOKUP($DL20,参照データ!$D$88:$K$117,6,0)),"")</f>
        <v/>
      </c>
      <c r="DN20" s="85" t="str">
        <f t="shared" si="9"/>
        <v/>
      </c>
      <c r="DO20" s="84" t="str">
        <f>IF($AH20="選手権",(VLOOKUP($DL20,参照データ!$D$88:$K$117,7,0)),"")</f>
        <v/>
      </c>
      <c r="DP20" s="85" t="str">
        <f t="shared" si="22"/>
        <v/>
      </c>
      <c r="DQ20" s="33" t="str">
        <f t="shared" si="23"/>
        <v/>
      </c>
      <c r="DR20" s="32" t="str">
        <f t="shared" si="24"/>
        <v/>
      </c>
      <c r="DS20" s="85" t="str">
        <f t="shared" si="25"/>
        <v/>
      </c>
      <c r="DT20" s="736">
        <v>5</v>
      </c>
      <c r="DU20" s="93" t="s">
        <v>93</v>
      </c>
      <c r="DV20" s="94" t="str">
        <f t="shared" si="35"/>
        <v/>
      </c>
      <c r="DW20" s="737" t="e">
        <f>IF($DV20&gt;$DV21,VLOOKUP($DV20,参照データ!$D$88:$K$117,8,0),VLOOKUP($DV21,参照データ!$D$88:$K$117,8,0))</f>
        <v>#N/A</v>
      </c>
      <c r="DX20" s="312" t="str">
        <f>IFERROR(VLOOKUP($DW20,参照データ!$K$88:$O$117,5,0),"")</f>
        <v/>
      </c>
      <c r="DZ20" s="491" t="str">
        <f t="shared" si="26"/>
        <v/>
      </c>
      <c r="EE20" s="35">
        <f>(COUNTIF($J20:$O20,"&lt;&gt;"))*参照データ!$E$3</f>
        <v>0</v>
      </c>
      <c r="EF20" s="219" t="str">
        <f>IF($Y20="○",参照データ!$E$4,"")</f>
        <v/>
      </c>
      <c r="EG20" s="18">
        <f>(SUM(COUNTIF($R20:$V20,{"入門","初級"}))*参照データ!$E$9)+(SUM(COUNTIF($R20:$V20,{"中級","上級"})*参照データ!$E$10))</f>
        <v>0</v>
      </c>
      <c r="EH20" s="18">
        <f>IFERROR(VLOOKUP($W20,参照データ!$D$9:$J$11,7,0),0)</f>
        <v>0</v>
      </c>
      <c r="EI20" s="18">
        <f>((COUNTIF($Z20:$AH20,"○"))*参照データ!$E$12)</f>
        <v>0</v>
      </c>
      <c r="EJ20" s="18" t="str">
        <f>(IF($AJ20="○",参照データ!$J$12,""))</f>
        <v/>
      </c>
      <c r="EM20" s="18">
        <f>((COUNTIF($Z20:$AH20,"選手権"))*参照データ!$E$13)</f>
        <v>0</v>
      </c>
      <c r="EN20" s="18" t="str">
        <f>(IF($AJ20="選手権",参照データ!$J$13,""))</f>
        <v/>
      </c>
      <c r="EO20" s="18">
        <f>(COUNTIF($AQ20:$AR20,"&lt;&gt;"))*参照データ!$H$3</f>
        <v>0</v>
      </c>
      <c r="EP20" s="18"/>
      <c r="EQ20" s="98">
        <f t="array" ref="EQ20">SUM(IF(ISERROR(EE20:EN20),0,(EE20:EN20)))</f>
        <v>0</v>
      </c>
      <c r="ER20" s="18"/>
      <c r="ES20" s="18">
        <f t="shared" si="10"/>
        <v>0</v>
      </c>
      <c r="ET20" s="18">
        <f t="shared" si="36"/>
        <v>0</v>
      </c>
      <c r="EU20" s="18">
        <f t="shared" si="27"/>
        <v>0</v>
      </c>
      <c r="EV20" s="18">
        <f t="shared" si="28"/>
        <v>0</v>
      </c>
      <c r="EW20" s="18">
        <f t="shared" si="29"/>
        <v>0</v>
      </c>
      <c r="EX20" s="18">
        <f t="shared" si="30"/>
        <v>0</v>
      </c>
      <c r="EY20" t="str">
        <f t="shared" si="31"/>
        <v/>
      </c>
    </row>
    <row r="21" spans="1:155" ht="18.75" customHeight="1" x14ac:dyDescent="0.2">
      <c r="A21">
        <v>10</v>
      </c>
      <c r="B21" s="14" t="str">
        <f>IF(D21="","",IF(D21="重複","",COUNTIF(B$12:$B20,"&gt;0")+1))</f>
        <v/>
      </c>
      <c r="C21" s="464"/>
      <c r="D21" s="177"/>
      <c r="E21" s="177"/>
      <c r="F21" s="31"/>
      <c r="G21" s="41"/>
      <c r="H21" s="351">
        <f t="shared" si="32"/>
        <v>0</v>
      </c>
      <c r="I21" s="193" t="str">
        <f>IF($AW21=0,"",DATEDIF($AW21,参照データ!$D$16,"Y"))</f>
        <v/>
      </c>
      <c r="J21" s="517"/>
      <c r="K21" s="517"/>
      <c r="L21" s="517"/>
      <c r="M21" s="517"/>
      <c r="N21" s="517"/>
      <c r="O21" s="518"/>
      <c r="P21" s="345"/>
      <c r="Q21" s="345"/>
      <c r="R21" s="519"/>
      <c r="S21" s="244"/>
      <c r="T21" s="244"/>
      <c r="U21" s="244"/>
      <c r="V21" s="245"/>
      <c r="W21" s="247"/>
      <c r="X21" s="250"/>
      <c r="Y21" s="345"/>
      <c r="Z21" s="388"/>
      <c r="AA21" s="346" t="str">
        <f>IF($Z21="○",VLOOKUP($CB21,参照データ!$D$65:$M$82,9,0),IF($Z21="選手権",VLOOKUP($DE21,参照データ!$D$88:$O$117,10,0),""))</f>
        <v/>
      </c>
      <c r="AB21" s="388"/>
      <c r="AC21" s="346" t="str">
        <f>IF($AB21="○",VLOOKUP($CB21,参照データ!$D$65:$M$82,10,0),IF($AB21="選手権",VLOOKUP($DE21,参照データ!$D$88:$O$117,11,0),""))</f>
        <v/>
      </c>
      <c r="AD21" s="388"/>
      <c r="AE21" s="346" t="str">
        <f>IF($AD21="○",VLOOKUP($CB21,参照データ!$D$65:$M$82,10,0),IF($AD21="選手権",VLOOKUP($DE21,参照データ!$D$88:$O$117,11,0),""))</f>
        <v/>
      </c>
      <c r="AF21" s="388"/>
      <c r="AG21" s="346" t="str">
        <f>IF($AF21="○",VLOOKUP($CB21,参照データ!$D$65:$M$82,10,0),IF($AF21="選手権",VLOOKUP($DL21,参照データ!$D$88:$O$117,12,0),""))</f>
        <v/>
      </c>
      <c r="AH21" s="388"/>
      <c r="AI21" s="346" t="str">
        <f>IF($AH21="○",VLOOKUP($CB21,参照データ!$D$65:$M$82,10,0),IF($AH21="選手権",VLOOKUP($DL21,参照データ!$D$88:$O$117,12,0),""))</f>
        <v/>
      </c>
      <c r="AJ21" s="388"/>
      <c r="AK21" s="511"/>
      <c r="AL21" s="346" t="str">
        <f t="shared" si="3"/>
        <v/>
      </c>
      <c r="AM21" s="392"/>
      <c r="AN21" s="391"/>
      <c r="AO21" s="391"/>
      <c r="AP21" s="447"/>
      <c r="AQ21" s="321"/>
      <c r="AR21" s="481"/>
      <c r="AS21" s="393"/>
      <c r="AT21" s="483"/>
      <c r="AV21" s="1" t="s">
        <v>669</v>
      </c>
      <c r="AW21">
        <f t="shared" si="45"/>
        <v>0</v>
      </c>
      <c r="AX21" t="str">
        <f t="shared" si="33"/>
        <v/>
      </c>
      <c r="AY21" s="132"/>
      <c r="BA21" s="513" t="str">
        <f>IF(団体情報・入力の仕方!$C$3&lt;&gt;"大田区大会","",IF(AW21=0,"",IF(I21&gt;=18,"○","")))</f>
        <v/>
      </c>
      <c r="BB21" s="53" t="str">
        <f>IF($AW21=0,"",IF(AND($I21&gt;=6,$I21&lt;=19),VLOOKUP($I21,参照データ!$B$24:$C$37,2,0),IF($I21&lt;6,6,19)))</f>
        <v/>
      </c>
      <c r="BC21" s="155" t="str">
        <f>IF($J21="○",VLOOKUP($BB21,参照データ!$C$24:$I$37,2,0),"")</f>
        <v/>
      </c>
      <c r="BD21" s="146" t="str">
        <f>IF($K21="○",VLOOKUP($BB21,参照データ!$C$24:$I$37,3,0),"")</f>
        <v/>
      </c>
      <c r="BE21" s="146" t="str">
        <f>IF($L21="○",VLOOKUP($BB21,参照データ!$C$24:$I$37,4,0),"")</f>
        <v/>
      </c>
      <c r="BF21" s="146" t="str">
        <f>IF($M21="○",VLOOKUP($BB21,参照データ!$C$24:$I$37,5,0),"")</f>
        <v/>
      </c>
      <c r="BG21" s="146" t="str">
        <f>IF($N21="20日",VLOOKUP($BB21,参照データ!$C$24:$I$37,6,0),"")</f>
        <v/>
      </c>
      <c r="BH21" s="156" t="str">
        <f>IF($O21="20日",VLOOKUP($BB21,参照データ!$C$24:$I$37,7,0),"")</f>
        <v/>
      </c>
      <c r="BI21" s="155" t="str">
        <f>IF($J21="21日",VLOOKUP($BB21,参照データ!$C$24:$I$37,2,0),"")</f>
        <v/>
      </c>
      <c r="BJ21" s="146" t="str">
        <f>IF($K21="21日",VLOOKUP($BB21,参照データ!$C$24:$I$37,3,0),"")</f>
        <v/>
      </c>
      <c r="BK21" s="146" t="str">
        <f>IF($L21="21日",VLOOKUP($BB21,参照データ!$C$24:$I$37,4,0),"")</f>
        <v/>
      </c>
      <c r="BL21" s="146" t="str">
        <f>IF($M21="21日",VLOOKUP($BB21,参照データ!$C$24:$I$37,5,0),"")</f>
        <v/>
      </c>
      <c r="BM21" s="146" t="str">
        <f>IF($N21="21日",VLOOKUP($BB21,参照データ!$C$24:$I$37,6,0),"")</f>
        <v/>
      </c>
      <c r="BN21" s="156" t="str">
        <f>IF($O21="21日",VLOOKUP($BB21,参照データ!$C$24:$I$37,7,0),"")</f>
        <v/>
      </c>
      <c r="BO21" s="223" t="str">
        <f t="shared" si="40"/>
        <v/>
      </c>
      <c r="BP21" s="154" t="str">
        <f>IF($R21="入門",VLOOKUP($BB21,参照データ!$C$43:$U$56,2,0),IF($R21="初級",VLOOKUP($BB21,参照データ!$C$43:$U$56,3,0),IF($R21="中級",VLOOKUP($BB21,参照データ!$C$43:$U$56,4,0),IF($R21="上級",VLOOKUP($BB21,参照データ!$C$43:$U$56,5,0),""))))</f>
        <v/>
      </c>
      <c r="BQ21" s="154" t="str">
        <f>IF($S21="初級",VLOOKUP($BB21,参照データ!$C$43:$U$56,6,0),IF($S21="中級",VLOOKUP($BB21,参照データ!$C$43:$U$56,7,0),IF($S21="上級",VLOOKUP($BB21,参照データ!$C$43:$U$56,8,0),"")))</f>
        <v/>
      </c>
      <c r="BR21" s="154" t="str">
        <f>IF($T21="初級",VLOOKUP($BB21,参照データ!$C$43:$U$56,9,0),IF($T21="上級",VLOOKUP($BB21,参照データ!$C$43:$U$56,10,0),""))</f>
        <v/>
      </c>
      <c r="BS21" s="154" t="str">
        <f>IF($U21="初級",VLOOKUP($BB21,参照データ!$C$43:$U$56,11,0),IF($U21="中級",VLOOKUP($BB21,参照データ!$C$43:$U$56,12,0),IF($U21="上級",VLOOKUP($BB21,参照データ!$C$43:$U$56,13,0),"")))</f>
        <v/>
      </c>
      <c r="BT21" s="154" t="str">
        <f>IF($V21="初級",VLOOKUP($BB21,参照データ!$C$43:$U$56,14,0),IF($V21="中級",VLOOKUP($BB21,参照データ!$C$43:$U$56,15,0),IF($V21="上級",VLOOKUP($BB21,参照データ!$C$43:$U$56,16,0),"")))</f>
        <v/>
      </c>
      <c r="BU21" s="47" t="str">
        <f t="shared" si="4"/>
        <v/>
      </c>
      <c r="BV21" s="47" t="str">
        <f>IF($W21="初級",VLOOKUP($BB21,参照データ!$C$43:$U$56,17,0),IF($W21="中級",VLOOKUP($BB21,参照データ!$C$43:$U$56,18,0),IF($W21="上級",VLOOKUP($BB21,参照データ!$C$43:$U$56,19,0),"")))</f>
        <v/>
      </c>
      <c r="BW21" s="687"/>
      <c r="BX21" s="65" t="s">
        <v>94</v>
      </c>
      <c r="BY21" s="135" t="str">
        <f t="shared" si="11"/>
        <v/>
      </c>
      <c r="BZ21" s="689"/>
      <c r="CB21" s="53" t="str">
        <f>IF(AND($AW21&gt;=参照データ!$C$67,$AW21&lt;=参照データ!$C$65),1,IF(AND($AW21&gt;=参照データ!$C$70,$AW21&lt;=参照データ!$C$68),2,IF(AND($AW21&gt;=参照データ!$C$73,$AW21&lt;=参照データ!$C$71),3,IF(AND($AW21&gt;=参照データ!$C$76,$AW21&lt;=参照データ!$C$74),4,IF(AND($AW21&gt;=参照データ!$C$79,$AW21&lt;=参照データ!$C$77),5,IF(AND($AW21&gt;0,$AW21&lt;=参照データ!$C$80),6,""))))))</f>
        <v/>
      </c>
      <c r="CC21" s="141" t="str">
        <f>IF($Z21="○",(VLOOKUP($CB21,参照データ!$D$65:$J$82,2,0)),"")</f>
        <v/>
      </c>
      <c r="CD21" s="71" t="str">
        <f t="shared" si="12"/>
        <v/>
      </c>
      <c r="CE21" s="70" t="str">
        <f>IF($AB21="○",(VLOOKUP($CB21,参照データ!$D$65:$J$82,3,0)),"")</f>
        <v/>
      </c>
      <c r="CF21" s="71" t="str">
        <f t="shared" si="13"/>
        <v/>
      </c>
      <c r="CG21" s="70" t="str">
        <f>IF($AD21="○",(VLOOKUP($CB21,参照データ!$D$65:$J$82,4,0)),"")</f>
        <v/>
      </c>
      <c r="CH21" s="71" t="str">
        <f t="shared" si="14"/>
        <v/>
      </c>
      <c r="CI21" s="70" t="str">
        <f>IF($AF21="○",(VLOOKUP($CB21,参照データ!$D$65:$J$82,5,0)),"")</f>
        <v/>
      </c>
      <c r="CJ21" s="71" t="str">
        <f t="shared" si="5"/>
        <v/>
      </c>
      <c r="CK21" s="70" t="str">
        <f>IF($AH21="○",(VLOOKUP($CB21,参照データ!$D$65:$J$82,6,0)),"")</f>
        <v/>
      </c>
      <c r="CL21" s="71" t="str">
        <f t="shared" si="15"/>
        <v/>
      </c>
      <c r="CM21" s="33" t="str">
        <f t="shared" si="16"/>
        <v/>
      </c>
      <c r="CN21" s="32" t="str">
        <f t="shared" si="17"/>
        <v/>
      </c>
      <c r="CO21" s="71" t="str">
        <f t="shared" si="18"/>
        <v/>
      </c>
      <c r="CP21" s="682"/>
      <c r="CQ21" s="77" t="s">
        <v>94</v>
      </c>
      <c r="CR21" s="78" t="str">
        <f t="shared" si="19"/>
        <v/>
      </c>
      <c r="CS21" s="684"/>
      <c r="CT21" s="308" t="str">
        <f t="shared" ref="CT21" si="50">$CT20</f>
        <v/>
      </c>
      <c r="CU21" s="70"/>
      <c r="CV21" s="172" t="str">
        <f t="shared" si="20"/>
        <v/>
      </c>
      <c r="CX21" s="32"/>
      <c r="CY21" s="161" t="str">
        <f t="shared" si="21"/>
        <v/>
      </c>
      <c r="CZ21" s="744"/>
      <c r="DA21" s="164" t="s">
        <v>94</v>
      </c>
      <c r="DB21" s="165" t="str">
        <f t="shared" si="42"/>
        <v/>
      </c>
      <c r="DC21" s="742"/>
      <c r="DD21" t="str">
        <f>IF($DE21="","",DATEDIF($AW21,参照データ!$D$19,"Y"))</f>
        <v/>
      </c>
      <c r="DE21" s="253" t="str">
        <f>IFERROR(IF($AX21="男子",VLOOKUP($DL21,参照データ!$D$88:$E$117,2,0),$DL21),0)</f>
        <v/>
      </c>
      <c r="DF21" s="84" t="str">
        <f>IF($Z21="選手権",(VLOOKUP($DE21,参照データ!$D$88:$K$117,3,0)),"")</f>
        <v/>
      </c>
      <c r="DG21" s="85" t="str">
        <f t="shared" si="6"/>
        <v/>
      </c>
      <c r="DH21" s="84" t="str">
        <f>IF($AB21="選手権",(VLOOKUP($DE21,参照データ!$D$88:$K$117,4,0)),"")</f>
        <v/>
      </c>
      <c r="DI21" s="85" t="str">
        <f t="shared" si="7"/>
        <v/>
      </c>
      <c r="DJ21" s="84" t="str">
        <f>IF($AD21="選手権",(VLOOKUP($DE21,参照データ!$D$88:$K$117,5,0)),"")</f>
        <v/>
      </c>
      <c r="DK21" s="85" t="str">
        <f t="shared" si="8"/>
        <v/>
      </c>
      <c r="DL21" s="53" t="str">
        <f>IF(AND($AW21&gt;=参照データ!$C$90,$AW21&lt;=参照データ!$C$88),1,IF(AND($AW21&gt;=参照データ!$C$93,$AW21&lt;=参照データ!$C$91),2,IF(AND($AW21&gt;=参照データ!$C$99,$AW21&lt;=参照データ!$C$97),3,IF(AND($AW21&gt;=参照データ!$C$105,$AW21&lt;=参照データ!$C$103),4,IF(AND($AW21&gt;=参照データ!$C$111,$AW21&lt;=参照データ!$C$109),5,IF(AND($AW21&gt;0,$AW21&lt;=参照データ!$C$112),6,""))))))</f>
        <v/>
      </c>
      <c r="DM21" s="84" t="str">
        <f>IF($AF21="選手権",(VLOOKUP($DL21,参照データ!$D$88:$K$117,6,0)),"")</f>
        <v/>
      </c>
      <c r="DN21" s="85" t="str">
        <f t="shared" si="9"/>
        <v/>
      </c>
      <c r="DO21" s="84" t="str">
        <f>IF($AH21="選手権",(VLOOKUP($DL21,参照データ!$D$88:$K$117,7,0)),"")</f>
        <v/>
      </c>
      <c r="DP21" s="85" t="str">
        <f t="shared" si="22"/>
        <v/>
      </c>
      <c r="DQ21" s="33" t="str">
        <f t="shared" si="23"/>
        <v/>
      </c>
      <c r="DR21" s="32" t="str">
        <f t="shared" si="24"/>
        <v/>
      </c>
      <c r="DS21" s="85" t="str">
        <f t="shared" si="25"/>
        <v/>
      </c>
      <c r="DT21" s="733"/>
      <c r="DU21" s="91" t="s">
        <v>94</v>
      </c>
      <c r="DV21" s="92" t="str">
        <f t="shared" si="35"/>
        <v/>
      </c>
      <c r="DW21" s="735"/>
      <c r="DX21" s="312" t="str">
        <f t="shared" ref="DX21" si="51">$DX20</f>
        <v/>
      </c>
      <c r="DZ21" s="491" t="str">
        <f t="shared" si="26"/>
        <v/>
      </c>
      <c r="EE21" s="35">
        <f>(COUNTIF($J21:$O21,"&lt;&gt;"))*参照データ!$E$3</f>
        <v>0</v>
      </c>
      <c r="EF21" s="219" t="str">
        <f>IF($Y21="○",参照データ!$E$4,"")</f>
        <v/>
      </c>
      <c r="EG21" s="18">
        <f>(SUM(COUNTIF($R21:$V21,{"入門","初級"}))*参照データ!$E$9)+(SUM(COUNTIF($R21:$V21,{"中級","上級"})*参照データ!$E$10))</f>
        <v>0</v>
      </c>
      <c r="EH21" s="18">
        <f>IFERROR(VLOOKUP($W21,参照データ!$D$9:$J$11,7,0),0)</f>
        <v>0</v>
      </c>
      <c r="EI21" s="18">
        <f>((COUNTIF($Z21:$AH21,"○"))*参照データ!$E$12)</f>
        <v>0</v>
      </c>
      <c r="EJ21" s="18" t="str">
        <f>(IF($AJ21="○",参照データ!$J$12,""))</f>
        <v/>
      </c>
      <c r="EM21" s="18">
        <f>((COUNTIF($Z21:$AH21,"選手権"))*参照データ!$E$13)</f>
        <v>0</v>
      </c>
      <c r="EN21" s="18" t="str">
        <f>(IF($AJ21="選手権",参照データ!$J$13,""))</f>
        <v/>
      </c>
      <c r="EO21" s="18">
        <f>(COUNTIF($AQ21:$AR21,"&lt;&gt;"))*参照データ!$H$3</f>
        <v>0</v>
      </c>
      <c r="EP21" s="18"/>
      <c r="EQ21" s="98">
        <f t="array" ref="EQ21">SUM(IF(ISERROR(EE21:EN21),0,(EE21:EN21)))</f>
        <v>0</v>
      </c>
      <c r="ER21" s="18"/>
      <c r="ES21" s="18">
        <f t="shared" si="10"/>
        <v>0</v>
      </c>
      <c r="ET21" s="18">
        <f t="shared" si="36"/>
        <v>0</v>
      </c>
      <c r="EU21" s="18">
        <f t="shared" si="27"/>
        <v>0</v>
      </c>
      <c r="EV21" s="18">
        <f t="shared" si="28"/>
        <v>0</v>
      </c>
      <c r="EW21" s="18">
        <f t="shared" si="29"/>
        <v>0</v>
      </c>
      <c r="EX21" s="18">
        <f t="shared" si="30"/>
        <v>0</v>
      </c>
      <c r="EY21" t="str">
        <f t="shared" si="31"/>
        <v/>
      </c>
    </row>
    <row r="22" spans="1:155" ht="18.75" customHeight="1" x14ac:dyDescent="0.2">
      <c r="A22">
        <v>11</v>
      </c>
      <c r="B22" s="14" t="str">
        <f>IF(D22="","",IF(D22="重複","",COUNTIF(B$12:$B21,"&gt;0")+1))</f>
        <v/>
      </c>
      <c r="C22" s="464"/>
      <c r="D22" s="177"/>
      <c r="E22" s="177"/>
      <c r="F22" s="31"/>
      <c r="G22" s="41"/>
      <c r="H22" s="351">
        <f t="shared" si="32"/>
        <v>0</v>
      </c>
      <c r="I22" s="193" t="str">
        <f>IF($AW22=0,"",DATEDIF($AW22,参照データ!$D$16,"Y"))</f>
        <v/>
      </c>
      <c r="J22" s="517"/>
      <c r="K22" s="517"/>
      <c r="L22" s="517"/>
      <c r="M22" s="517"/>
      <c r="N22" s="517"/>
      <c r="O22" s="518"/>
      <c r="P22" s="345"/>
      <c r="Q22" s="345"/>
      <c r="R22" s="519"/>
      <c r="S22" s="244"/>
      <c r="T22" s="244"/>
      <c r="U22" s="244"/>
      <c r="V22" s="245"/>
      <c r="W22" s="247"/>
      <c r="X22" s="250"/>
      <c r="Y22" s="345"/>
      <c r="Z22" s="388"/>
      <c r="AA22" s="346" t="str">
        <f>IF($Z22="○",VLOOKUP($CB22,参照データ!$D$65:$M$82,9,0),IF($Z22="選手権",VLOOKUP($DE22,参照データ!$D$88:$O$117,10,0),""))</f>
        <v/>
      </c>
      <c r="AB22" s="388"/>
      <c r="AC22" s="346" t="str">
        <f>IF($AB22="○",VLOOKUP($CB22,参照データ!$D$65:$M$82,10,0),IF($AB22="選手権",VLOOKUP($DE22,参照データ!$D$88:$O$117,11,0),""))</f>
        <v/>
      </c>
      <c r="AD22" s="388"/>
      <c r="AE22" s="346" t="str">
        <f>IF($AD22="○",VLOOKUP($CB22,参照データ!$D$65:$M$82,10,0),IF($AD22="選手権",VLOOKUP($DE22,参照データ!$D$88:$O$117,11,0),""))</f>
        <v/>
      </c>
      <c r="AF22" s="388"/>
      <c r="AG22" s="346" t="str">
        <f>IF($AF22="○",VLOOKUP($CB22,参照データ!$D$65:$M$82,10,0),IF($AF22="選手権",VLOOKUP($DL22,参照データ!$D$88:$O$117,12,0),""))</f>
        <v/>
      </c>
      <c r="AH22" s="388"/>
      <c r="AI22" s="346" t="str">
        <f>IF($AH22="○",VLOOKUP($CB22,参照データ!$D$65:$M$82,10,0),IF($AH22="選手権",VLOOKUP($DL22,参照データ!$D$88:$O$117,12,0),""))</f>
        <v/>
      </c>
      <c r="AJ22" s="388"/>
      <c r="AK22" s="511"/>
      <c r="AL22" s="346" t="str">
        <f t="shared" si="3"/>
        <v/>
      </c>
      <c r="AM22" s="392"/>
      <c r="AN22" s="391"/>
      <c r="AO22" s="391"/>
      <c r="AP22" s="447"/>
      <c r="AQ22" s="321"/>
      <c r="AR22" s="481"/>
      <c r="AS22" s="393"/>
      <c r="AT22" s="483"/>
      <c r="AV22" s="1" t="s">
        <v>443</v>
      </c>
      <c r="AW22">
        <f t="shared" si="45"/>
        <v>0</v>
      </c>
      <c r="AX22" t="str">
        <f t="shared" si="33"/>
        <v/>
      </c>
      <c r="AY22" s="132"/>
      <c r="BA22" s="513" t="str">
        <f>IF(団体情報・入力の仕方!$C$3&lt;&gt;"大田区大会","",IF(AW22=0,"",IF(I22&gt;=18,"○","")))</f>
        <v/>
      </c>
      <c r="BB22" s="53" t="str">
        <f>IF($AW22=0,"",IF(AND($I22&gt;=6,$I22&lt;=19),VLOOKUP($I22,参照データ!$B$24:$C$37,2,0),IF($I22&lt;6,6,19)))</f>
        <v/>
      </c>
      <c r="BC22" s="155" t="str">
        <f>IF($J22="○",VLOOKUP($BB22,参照データ!$C$24:$I$37,2,0),"")</f>
        <v/>
      </c>
      <c r="BD22" s="146" t="str">
        <f>IF($K22="○",VLOOKUP($BB22,参照データ!$C$24:$I$37,3,0),"")</f>
        <v/>
      </c>
      <c r="BE22" s="146" t="str">
        <f>IF($L22="○",VLOOKUP($BB22,参照データ!$C$24:$I$37,4,0),"")</f>
        <v/>
      </c>
      <c r="BF22" s="146" t="str">
        <f>IF($M22="○",VLOOKUP($BB22,参照データ!$C$24:$I$37,5,0),"")</f>
        <v/>
      </c>
      <c r="BG22" s="146" t="str">
        <f>IF($N22="20日",VLOOKUP($BB22,参照データ!$C$24:$I$37,6,0),"")</f>
        <v/>
      </c>
      <c r="BH22" s="156" t="str">
        <f>IF($O22="20日",VLOOKUP($BB22,参照データ!$C$24:$I$37,7,0),"")</f>
        <v/>
      </c>
      <c r="BI22" s="155" t="str">
        <f>IF($J22="21日",VLOOKUP($BB22,参照データ!$C$24:$I$37,2,0),"")</f>
        <v/>
      </c>
      <c r="BJ22" s="146" t="str">
        <f>IF($K22="21日",VLOOKUP($BB22,参照データ!$C$24:$I$37,3,0),"")</f>
        <v/>
      </c>
      <c r="BK22" s="146" t="str">
        <f>IF($L22="21日",VLOOKUP($BB22,参照データ!$C$24:$I$37,4,0),"")</f>
        <v/>
      </c>
      <c r="BL22" s="146" t="str">
        <f>IF($M22="21日",VLOOKUP($BB22,参照データ!$C$24:$I$37,5,0),"")</f>
        <v/>
      </c>
      <c r="BM22" s="146" t="str">
        <f>IF($N22="21日",VLOOKUP($BB22,参照データ!$C$24:$I$37,6,0),"")</f>
        <v/>
      </c>
      <c r="BN22" s="156" t="str">
        <f>IF($O22="21日",VLOOKUP($BB22,参照データ!$C$24:$I$37,7,0),"")</f>
        <v/>
      </c>
      <c r="BO22" s="223" t="str">
        <f t="shared" si="40"/>
        <v/>
      </c>
      <c r="BP22" s="154" t="str">
        <f>IF($R22="入門",VLOOKUP($BB22,参照データ!$C$43:$U$56,2,0),IF($R22="初級",VLOOKUP($BB22,参照データ!$C$43:$U$56,3,0),IF($R22="中級",VLOOKUP($BB22,参照データ!$C$43:$U$56,4,0),IF($R22="上級",VLOOKUP($BB22,参照データ!$C$43:$U$56,5,0),""))))</f>
        <v/>
      </c>
      <c r="BQ22" s="154" t="str">
        <f>IF($S22="初級",VLOOKUP($BB22,参照データ!$C$43:$U$56,6,0),IF($S22="中級",VLOOKUP($BB22,参照データ!$C$43:$U$56,7,0),IF($S22="上級",VLOOKUP($BB22,参照データ!$C$43:$U$56,8,0),"")))</f>
        <v/>
      </c>
      <c r="BR22" s="154" t="str">
        <f>IF($T22="初級",VLOOKUP($BB22,参照データ!$C$43:$U$56,9,0),IF($T22="上級",VLOOKUP($BB22,参照データ!$C$43:$U$56,10,0),""))</f>
        <v/>
      </c>
      <c r="BS22" s="154" t="str">
        <f>IF($U22="初級",VLOOKUP($BB22,参照データ!$C$43:$U$56,11,0),IF($U22="中級",VLOOKUP($BB22,参照データ!$C$43:$U$56,12,0),IF($U22="上級",VLOOKUP($BB22,参照データ!$C$43:$U$56,13,0),"")))</f>
        <v/>
      </c>
      <c r="BT22" s="154" t="str">
        <f>IF($V22="初級",VLOOKUP($BB22,参照データ!$C$43:$U$56,14,0),IF($V22="中級",VLOOKUP($BB22,参照データ!$C$43:$U$56,15,0),IF($V22="上級",VLOOKUP($BB22,参照データ!$C$43:$U$56,16,0),"")))</f>
        <v/>
      </c>
      <c r="BU22" s="47" t="str">
        <f t="shared" si="4"/>
        <v/>
      </c>
      <c r="BV22" s="47" t="str">
        <f>IF($W22="初級",VLOOKUP($BB22,参照データ!$C$43:$U$56,17,0),IF($W22="中級",VLOOKUP($BB22,参照データ!$C$43:$U$56,18,0),IF($W22="上級",VLOOKUP($BB22,参照データ!$C$43:$U$56,19,0),"")))</f>
        <v/>
      </c>
      <c r="BW22" s="686">
        <v>6</v>
      </c>
      <c r="BX22" s="66" t="s">
        <v>95</v>
      </c>
      <c r="BY22" s="136" t="str">
        <f t="shared" si="11"/>
        <v/>
      </c>
      <c r="BZ22" s="688" t="str">
        <f t="shared" ref="BZ22" si="52">IF(OR($BY22="",$BY23=""),"",IF($BY22&gt;$BY23,$BY22,$BY23))</f>
        <v/>
      </c>
      <c r="CB22" s="53" t="str">
        <f>IF(AND($AW22&gt;=参照データ!$C$67,$AW22&lt;=参照データ!$C$65),1,IF(AND($AW22&gt;=参照データ!$C$70,$AW22&lt;=参照データ!$C$68),2,IF(AND($AW22&gt;=参照データ!$C$73,$AW22&lt;=参照データ!$C$71),3,IF(AND($AW22&gt;=参照データ!$C$76,$AW22&lt;=参照データ!$C$74),4,IF(AND($AW22&gt;=参照データ!$C$79,$AW22&lt;=参照データ!$C$77),5,IF(AND($AW22&gt;0,$AW22&lt;=参照データ!$C$80),6,""))))))</f>
        <v/>
      </c>
      <c r="CC22" s="141" t="str">
        <f>IF($Z22="○",(VLOOKUP($CB22,参照データ!$D$65:$J$82,2,0)),"")</f>
        <v/>
      </c>
      <c r="CD22" s="71" t="str">
        <f t="shared" si="12"/>
        <v/>
      </c>
      <c r="CE22" s="70" t="str">
        <f>IF($AB22="○",(VLOOKUP($CB22,参照データ!$D$65:$J$82,3,0)),"")</f>
        <v/>
      </c>
      <c r="CF22" s="71" t="str">
        <f t="shared" si="13"/>
        <v/>
      </c>
      <c r="CG22" s="70" t="str">
        <f>IF($AD22="○",(VLOOKUP($CB22,参照データ!$D$65:$J$82,4,0)),"")</f>
        <v/>
      </c>
      <c r="CH22" s="71" t="str">
        <f t="shared" si="14"/>
        <v/>
      </c>
      <c r="CI22" s="70" t="str">
        <f>IF($AF22="○",(VLOOKUP($CB22,参照データ!$D$65:$J$82,5,0)),"")</f>
        <v/>
      </c>
      <c r="CJ22" s="71" t="str">
        <f t="shared" si="5"/>
        <v/>
      </c>
      <c r="CK22" s="70" t="str">
        <f>IF($AH22="○",(VLOOKUP($CB22,参照データ!$D$65:$J$82,6,0)),"")</f>
        <v/>
      </c>
      <c r="CL22" s="71" t="str">
        <f t="shared" si="15"/>
        <v/>
      </c>
      <c r="CM22" s="33" t="str">
        <f t="shared" si="16"/>
        <v/>
      </c>
      <c r="CN22" s="32" t="str">
        <f t="shared" si="17"/>
        <v/>
      </c>
      <c r="CO22" s="71" t="str">
        <f t="shared" si="18"/>
        <v/>
      </c>
      <c r="CP22" s="681">
        <v>6</v>
      </c>
      <c r="CQ22" s="79" t="s">
        <v>95</v>
      </c>
      <c r="CR22" s="80" t="str">
        <f t="shared" si="19"/>
        <v/>
      </c>
      <c r="CS22" s="683" t="e">
        <f>IF($CR22&gt;$CR23,VLOOKUP($CR22,参照データ!$D$65:$J$82,7,0),VLOOKUP($CR23,参照データ!$D$65:$J$82,7,0))</f>
        <v>#N/A</v>
      </c>
      <c r="CT22" s="308" t="str">
        <f>IFERROR(VLOOKUP($CS22,参照データ!$J$65:$M$82,4,0),"")</f>
        <v/>
      </c>
      <c r="CU22" s="70"/>
      <c r="CV22" s="172" t="str">
        <f t="shared" si="20"/>
        <v/>
      </c>
      <c r="CX22" s="32"/>
      <c r="CY22" s="161" t="str">
        <f t="shared" si="21"/>
        <v/>
      </c>
      <c r="CZ22" s="743">
        <v>6</v>
      </c>
      <c r="DA22" s="166" t="s">
        <v>95</v>
      </c>
      <c r="DB22" s="167" t="str">
        <f t="shared" si="42"/>
        <v/>
      </c>
      <c r="DC22" s="741" t="str">
        <f>IF(OR(DB22="",DB23=""),"",IF(DB22&gt;DB23,DB22,DB23))</f>
        <v/>
      </c>
      <c r="DD22" t="str">
        <f>IF($DE22="","",DATEDIF($AW22,参照データ!$D$19,"Y"))</f>
        <v/>
      </c>
      <c r="DE22" s="253" t="str">
        <f>IFERROR(IF($AX22="男子",VLOOKUP($DL22,参照データ!$D$88:$E$117,2,0),$DL22),0)</f>
        <v/>
      </c>
      <c r="DF22" s="84" t="str">
        <f>IF($Z22="選手権",(VLOOKUP($DE22,参照データ!$D$88:$K$117,3,0)),"")</f>
        <v/>
      </c>
      <c r="DG22" s="85" t="str">
        <f t="shared" si="6"/>
        <v/>
      </c>
      <c r="DH22" s="84" t="str">
        <f>IF($AB22="選手権",(VLOOKUP($DE22,参照データ!$D$88:$K$117,4,0)),"")</f>
        <v/>
      </c>
      <c r="DI22" s="85" t="str">
        <f t="shared" si="7"/>
        <v/>
      </c>
      <c r="DJ22" s="84" t="str">
        <f>IF($AD22="選手権",(VLOOKUP($DE22,参照データ!$D$88:$K$117,5,0)),"")</f>
        <v/>
      </c>
      <c r="DK22" s="85" t="str">
        <f t="shared" si="8"/>
        <v/>
      </c>
      <c r="DL22" s="53" t="str">
        <f>IF(AND($AW22&gt;=参照データ!$C$90,$AW22&lt;=参照データ!$C$88),1,IF(AND($AW22&gt;=参照データ!$C$93,$AW22&lt;=参照データ!$C$91),2,IF(AND($AW22&gt;=参照データ!$C$99,$AW22&lt;=参照データ!$C$97),3,IF(AND($AW22&gt;=参照データ!$C$105,$AW22&lt;=参照データ!$C$103),4,IF(AND($AW22&gt;=参照データ!$C$111,$AW22&lt;=参照データ!$C$109),5,IF(AND($AW22&gt;0,$AW22&lt;=参照データ!$C$112),6,""))))))</f>
        <v/>
      </c>
      <c r="DM22" s="84" t="str">
        <f>IF($AF22="選手権",(VLOOKUP($DL22,参照データ!$D$88:$K$117,6,0)),"")</f>
        <v/>
      </c>
      <c r="DN22" s="85" t="str">
        <f t="shared" si="9"/>
        <v/>
      </c>
      <c r="DO22" s="84" t="str">
        <f>IF($AH22="選手権",(VLOOKUP($DL22,参照データ!$D$88:$K$117,7,0)),"")</f>
        <v/>
      </c>
      <c r="DP22" s="85" t="str">
        <f t="shared" si="22"/>
        <v/>
      </c>
      <c r="DQ22" s="33" t="str">
        <f t="shared" si="23"/>
        <v/>
      </c>
      <c r="DR22" s="32" t="str">
        <f t="shared" si="24"/>
        <v/>
      </c>
      <c r="DS22" s="85" t="str">
        <f t="shared" si="25"/>
        <v/>
      </c>
      <c r="DT22" s="736">
        <v>6</v>
      </c>
      <c r="DU22" s="93" t="s">
        <v>95</v>
      </c>
      <c r="DV22" s="94" t="str">
        <f t="shared" si="35"/>
        <v/>
      </c>
      <c r="DW22" s="737" t="e">
        <f>IF($DV22&gt;$DV23,VLOOKUP($DV22,参照データ!$D$88:$K$117,8,0),VLOOKUP($DV23,参照データ!$D$88:$K$117,8,0))</f>
        <v>#N/A</v>
      </c>
      <c r="DX22" s="312" t="str">
        <f>IFERROR(VLOOKUP($DW22,参照データ!$K$88:$O$117,5,0),"")</f>
        <v/>
      </c>
      <c r="DZ22" s="491" t="str">
        <f t="shared" si="26"/>
        <v/>
      </c>
      <c r="EE22" s="35">
        <f>(COUNTIF($J22:$O22,"&lt;&gt;"))*参照データ!$E$3</f>
        <v>0</v>
      </c>
      <c r="EF22" s="219" t="str">
        <f>IF($Y22="○",参照データ!$E$4,"")</f>
        <v/>
      </c>
      <c r="EG22" s="18">
        <f>(SUM(COUNTIF($R22:$V22,{"入門","初級"}))*参照データ!$E$9)+(SUM(COUNTIF($R22:$V22,{"中級","上級"})*参照データ!$E$10))</f>
        <v>0</v>
      </c>
      <c r="EH22" s="18">
        <f>IFERROR(VLOOKUP($W22,参照データ!$D$9:$J$11,7,0),0)</f>
        <v>0</v>
      </c>
      <c r="EI22" s="18">
        <f>((COUNTIF($Z22:$AH22,"○"))*参照データ!$E$12)</f>
        <v>0</v>
      </c>
      <c r="EJ22" s="18" t="str">
        <f>(IF($AJ22="○",参照データ!$J$12,""))</f>
        <v/>
      </c>
      <c r="EM22" s="18">
        <f>((COUNTIF($Z22:$AH22,"選手権"))*参照データ!$E$13)</f>
        <v>0</v>
      </c>
      <c r="EN22" s="18" t="str">
        <f>(IF($AJ22="選手権",参照データ!$J$13,""))</f>
        <v/>
      </c>
      <c r="EO22" s="18">
        <f>(COUNTIF($AQ22:$AR22,"&lt;&gt;"))*参照データ!$H$3</f>
        <v>0</v>
      </c>
      <c r="EP22" s="18"/>
      <c r="EQ22" s="98">
        <f t="array" ref="EQ22">SUM(IF(ISERROR(EE22:EN22),0,(EE22:EN22)))</f>
        <v>0</v>
      </c>
      <c r="ER22" s="18"/>
      <c r="ES22" s="18">
        <f t="shared" si="10"/>
        <v>0</v>
      </c>
      <c r="ET22" s="18">
        <f t="shared" si="36"/>
        <v>0</v>
      </c>
      <c r="EU22" s="18">
        <f t="shared" si="27"/>
        <v>0</v>
      </c>
      <c r="EV22" s="18">
        <f t="shared" si="28"/>
        <v>0</v>
      </c>
      <c r="EW22" s="18">
        <f t="shared" si="29"/>
        <v>0</v>
      </c>
      <c r="EX22" s="18">
        <f t="shared" si="30"/>
        <v>0</v>
      </c>
      <c r="EY22" t="str">
        <f t="shared" si="31"/>
        <v/>
      </c>
    </row>
    <row r="23" spans="1:155" ht="18.75" customHeight="1" x14ac:dyDescent="0.2">
      <c r="A23">
        <v>12</v>
      </c>
      <c r="B23" s="14" t="str">
        <f>IF(D23="","",IF(D23="重複","",COUNTIF(B$12:$B22,"&gt;0")+1))</f>
        <v/>
      </c>
      <c r="C23" s="464"/>
      <c r="D23" s="177"/>
      <c r="E23" s="177"/>
      <c r="F23" s="31"/>
      <c r="G23" s="41"/>
      <c r="H23" s="351">
        <f t="shared" si="32"/>
        <v>0</v>
      </c>
      <c r="I23" s="193" t="str">
        <f>IF($AW23=0,"",DATEDIF($AW23,参照データ!$D$16,"Y"))</f>
        <v/>
      </c>
      <c r="J23" s="517"/>
      <c r="K23" s="517"/>
      <c r="L23" s="517"/>
      <c r="M23" s="517"/>
      <c r="N23" s="517"/>
      <c r="O23" s="518"/>
      <c r="P23" s="345"/>
      <c r="Q23" s="345"/>
      <c r="R23" s="519"/>
      <c r="S23" s="244"/>
      <c r="T23" s="244"/>
      <c r="U23" s="244"/>
      <c r="V23" s="245"/>
      <c r="W23" s="247"/>
      <c r="X23" s="250"/>
      <c r="Y23" s="345"/>
      <c r="Z23" s="388"/>
      <c r="AA23" s="346" t="str">
        <f>IF($Z23="○",VLOOKUP($CB23,参照データ!$D$65:$M$82,9,0),IF($Z23="選手権",VLOOKUP($DE23,参照データ!$D$88:$O$117,10,0),""))</f>
        <v/>
      </c>
      <c r="AB23" s="388"/>
      <c r="AC23" s="346" t="str">
        <f>IF($AB23="○",VLOOKUP($CB23,参照データ!$D$65:$M$82,10,0),IF($AB23="選手権",VLOOKUP($DE23,参照データ!$D$88:$O$117,11,0),""))</f>
        <v/>
      </c>
      <c r="AD23" s="388"/>
      <c r="AE23" s="346" t="str">
        <f>IF($AD23="○",VLOOKUP($CB23,参照データ!$D$65:$M$82,10,0),IF($AD23="選手権",VLOOKUP($DE23,参照データ!$D$88:$O$117,11,0),""))</f>
        <v/>
      </c>
      <c r="AF23" s="388"/>
      <c r="AG23" s="346" t="str">
        <f>IF($AF23="○",VLOOKUP($CB23,参照データ!$D$65:$M$82,10,0),IF($AF23="選手権",VLOOKUP($DL23,参照データ!$D$88:$O$117,12,0),""))</f>
        <v/>
      </c>
      <c r="AH23" s="388"/>
      <c r="AI23" s="346" t="str">
        <f>IF($AH23="○",VLOOKUP($CB23,参照データ!$D$65:$M$82,10,0),IF($AH23="選手権",VLOOKUP($DL23,参照データ!$D$88:$O$117,12,0),""))</f>
        <v/>
      </c>
      <c r="AJ23" s="388"/>
      <c r="AK23" s="511"/>
      <c r="AL23" s="346" t="str">
        <f t="shared" si="3"/>
        <v/>
      </c>
      <c r="AM23" s="392"/>
      <c r="AN23" s="391"/>
      <c r="AO23" s="391"/>
      <c r="AP23" s="447"/>
      <c r="AQ23" s="321"/>
      <c r="AR23" s="481"/>
      <c r="AS23" s="393"/>
      <c r="AT23" s="483"/>
      <c r="AV23" s="1" t="s">
        <v>678</v>
      </c>
      <c r="AW23">
        <f t="shared" si="45"/>
        <v>0</v>
      </c>
      <c r="AX23" t="str">
        <f t="shared" si="33"/>
        <v/>
      </c>
      <c r="AY23" s="132"/>
      <c r="BA23" s="513" t="str">
        <f>IF(団体情報・入力の仕方!$C$3&lt;&gt;"大田区大会","",IF(AW23=0,"",IF(I23&gt;=18,"○","")))</f>
        <v/>
      </c>
      <c r="BB23" s="53" t="str">
        <f>IF($AW23=0,"",IF(AND($I23&gt;=6,$I23&lt;=19),VLOOKUP($I23,参照データ!$B$24:$C$37,2,0),IF($I23&lt;6,6,19)))</f>
        <v/>
      </c>
      <c r="BC23" s="155" t="str">
        <f>IF($J23="○",VLOOKUP($BB23,参照データ!$C$24:$I$37,2,0),"")</f>
        <v/>
      </c>
      <c r="BD23" s="146" t="str">
        <f>IF($K23="○",VLOOKUP($BB23,参照データ!$C$24:$I$37,3,0),"")</f>
        <v/>
      </c>
      <c r="BE23" s="146" t="str">
        <f>IF($L23="○",VLOOKUP($BB23,参照データ!$C$24:$I$37,4,0),"")</f>
        <v/>
      </c>
      <c r="BF23" s="146" t="str">
        <f>IF($M23="○",VLOOKUP($BB23,参照データ!$C$24:$I$37,5,0),"")</f>
        <v/>
      </c>
      <c r="BG23" s="146" t="str">
        <f>IF($N23="20日",VLOOKUP($BB23,参照データ!$C$24:$I$37,6,0),"")</f>
        <v/>
      </c>
      <c r="BH23" s="156" t="str">
        <f>IF($O23="20日",VLOOKUP($BB23,参照データ!$C$24:$I$37,7,0),"")</f>
        <v/>
      </c>
      <c r="BI23" s="155" t="str">
        <f>IF($J23="21日",VLOOKUP($BB23,参照データ!$C$24:$I$37,2,0),"")</f>
        <v/>
      </c>
      <c r="BJ23" s="146" t="str">
        <f>IF($K23="21日",VLOOKUP($BB23,参照データ!$C$24:$I$37,3,0),"")</f>
        <v/>
      </c>
      <c r="BK23" s="146" t="str">
        <f>IF($L23="21日",VLOOKUP($BB23,参照データ!$C$24:$I$37,4,0),"")</f>
        <v/>
      </c>
      <c r="BL23" s="146" t="str">
        <f>IF($M23="21日",VLOOKUP($BB23,参照データ!$C$24:$I$37,5,0),"")</f>
        <v/>
      </c>
      <c r="BM23" s="146" t="str">
        <f>IF($N23="21日",VLOOKUP($BB23,参照データ!$C$24:$I$37,6,0),"")</f>
        <v/>
      </c>
      <c r="BN23" s="156" t="str">
        <f>IF($O23="21日",VLOOKUP($BB23,参照データ!$C$24:$I$37,7,0),"")</f>
        <v/>
      </c>
      <c r="BO23" s="223" t="str">
        <f t="shared" si="40"/>
        <v/>
      </c>
      <c r="BP23" s="154" t="str">
        <f>IF($R23="入門",VLOOKUP($BB23,参照データ!$C$43:$U$56,2,0),IF($R23="初級",VLOOKUP($BB23,参照データ!$C$43:$U$56,3,0),IF($R23="中級",VLOOKUP($BB23,参照データ!$C$43:$U$56,4,0),IF($R23="上級",VLOOKUP($BB23,参照データ!$C$43:$U$56,5,0),""))))</f>
        <v/>
      </c>
      <c r="BQ23" s="154" t="str">
        <f>IF($S23="初級",VLOOKUP($BB23,参照データ!$C$43:$U$56,6,0),IF($S23="中級",VLOOKUP($BB23,参照データ!$C$43:$U$56,7,0),IF($S23="上級",VLOOKUP($BB23,参照データ!$C$43:$U$56,8,0),"")))</f>
        <v/>
      </c>
      <c r="BR23" s="154" t="str">
        <f>IF($T23="初級",VLOOKUP($BB23,参照データ!$C$43:$U$56,9,0),IF($T23="上級",VLOOKUP($BB23,参照データ!$C$43:$U$56,10,0),""))</f>
        <v/>
      </c>
      <c r="BS23" s="154" t="str">
        <f>IF($U23="初級",VLOOKUP($BB23,参照データ!$C$43:$U$56,11,0),IF($U23="中級",VLOOKUP($BB23,参照データ!$C$43:$U$56,12,0),IF($U23="上級",VLOOKUP($BB23,参照データ!$C$43:$U$56,13,0),"")))</f>
        <v/>
      </c>
      <c r="BT23" s="154" t="str">
        <f>IF($V23="初級",VLOOKUP($BB23,参照データ!$C$43:$U$56,14,0),IF($V23="中級",VLOOKUP($BB23,参照データ!$C$43:$U$56,15,0),IF($V23="上級",VLOOKUP($BB23,参照データ!$C$43:$U$56,16,0),"")))</f>
        <v/>
      </c>
      <c r="BU23" s="47" t="str">
        <f t="shared" si="4"/>
        <v/>
      </c>
      <c r="BV23" s="47" t="str">
        <f>IF($W23="初級",VLOOKUP($BB23,参照データ!$C$43:$U$56,17,0),IF($W23="中級",VLOOKUP($BB23,参照データ!$C$43:$U$56,18,0),IF($W23="上級",VLOOKUP($BB23,参照データ!$C$43:$U$56,19,0),"")))</f>
        <v/>
      </c>
      <c r="BW23" s="687"/>
      <c r="BX23" s="65" t="s">
        <v>96</v>
      </c>
      <c r="BY23" s="135" t="str">
        <f t="shared" si="11"/>
        <v/>
      </c>
      <c r="BZ23" s="689"/>
      <c r="CB23" s="53" t="str">
        <f>IF(AND($AW23&gt;=参照データ!$C$67,$AW23&lt;=参照データ!$C$65),1,IF(AND($AW23&gt;=参照データ!$C$70,$AW23&lt;=参照データ!$C$68),2,IF(AND($AW23&gt;=参照データ!$C$73,$AW23&lt;=参照データ!$C$71),3,IF(AND($AW23&gt;=参照データ!$C$76,$AW23&lt;=参照データ!$C$74),4,IF(AND($AW23&gt;=参照データ!$C$79,$AW23&lt;=参照データ!$C$77),5,IF(AND($AW23&gt;0,$AW23&lt;=参照データ!$C$80),6,""))))))</f>
        <v/>
      </c>
      <c r="CC23" s="141" t="str">
        <f>IF($Z23="○",(VLOOKUP($CB23,参照データ!$D$65:$J$82,2,0)),"")</f>
        <v/>
      </c>
      <c r="CD23" s="71" t="str">
        <f t="shared" si="12"/>
        <v/>
      </c>
      <c r="CE23" s="70" t="str">
        <f>IF($AB23="○",(VLOOKUP($CB23,参照データ!$D$65:$J$82,3,0)),"")</f>
        <v/>
      </c>
      <c r="CF23" s="71" t="str">
        <f t="shared" si="13"/>
        <v/>
      </c>
      <c r="CG23" s="70" t="str">
        <f>IF($AD23="○",(VLOOKUP($CB23,参照データ!$D$65:$J$82,4,0)),"")</f>
        <v/>
      </c>
      <c r="CH23" s="71" t="str">
        <f t="shared" si="14"/>
        <v/>
      </c>
      <c r="CI23" s="70" t="str">
        <f>IF($AF23="○",(VLOOKUP($CB23,参照データ!$D$65:$J$82,5,0)),"")</f>
        <v/>
      </c>
      <c r="CJ23" s="71" t="str">
        <f t="shared" si="5"/>
        <v/>
      </c>
      <c r="CK23" s="70" t="str">
        <f>IF($AH23="○",(VLOOKUP($CB23,参照データ!$D$65:$J$82,6,0)),"")</f>
        <v/>
      </c>
      <c r="CL23" s="71" t="str">
        <f t="shared" si="15"/>
        <v/>
      </c>
      <c r="CM23" s="33" t="str">
        <f t="shared" si="16"/>
        <v/>
      </c>
      <c r="CN23" s="32" t="str">
        <f t="shared" si="17"/>
        <v/>
      </c>
      <c r="CO23" s="71" t="str">
        <f t="shared" si="18"/>
        <v/>
      </c>
      <c r="CP23" s="682"/>
      <c r="CQ23" s="77" t="s">
        <v>96</v>
      </c>
      <c r="CR23" s="78" t="str">
        <f t="shared" si="19"/>
        <v/>
      </c>
      <c r="CS23" s="684"/>
      <c r="CT23" s="308" t="str">
        <f t="shared" ref="CT23" si="53">$CT22</f>
        <v/>
      </c>
      <c r="CU23" s="70"/>
      <c r="CV23" s="172" t="str">
        <f t="shared" si="20"/>
        <v/>
      </c>
      <c r="CX23" s="32"/>
      <c r="CY23" s="161" t="str">
        <f t="shared" si="21"/>
        <v/>
      </c>
      <c r="CZ23" s="744"/>
      <c r="DA23" s="164" t="s">
        <v>96</v>
      </c>
      <c r="DB23" s="165" t="str">
        <f t="shared" si="42"/>
        <v/>
      </c>
      <c r="DC23" s="742"/>
      <c r="DD23" t="str">
        <f>IF($DE23="","",DATEDIF($AW23,参照データ!$D$19,"Y"))</f>
        <v/>
      </c>
      <c r="DE23" s="253" t="str">
        <f>IFERROR(IF($AX23="男子",VLOOKUP($DL23,参照データ!$D$88:$E$117,2,0),$DL23),0)</f>
        <v/>
      </c>
      <c r="DF23" s="84" t="str">
        <f>IF($Z23="選手権",(VLOOKUP($DE23,参照データ!$D$88:$K$117,3,0)),"")</f>
        <v/>
      </c>
      <c r="DG23" s="85" t="str">
        <f t="shared" si="6"/>
        <v/>
      </c>
      <c r="DH23" s="84" t="str">
        <f>IF($AB23="選手権",(VLOOKUP($DE23,参照データ!$D$88:$K$117,4,0)),"")</f>
        <v/>
      </c>
      <c r="DI23" s="85" t="str">
        <f t="shared" si="7"/>
        <v/>
      </c>
      <c r="DJ23" s="84" t="str">
        <f>IF($AD23="選手権",(VLOOKUP($DE23,参照データ!$D$88:$K$117,5,0)),"")</f>
        <v/>
      </c>
      <c r="DK23" s="85" t="str">
        <f t="shared" si="8"/>
        <v/>
      </c>
      <c r="DL23" s="53" t="str">
        <f>IF(AND($AW23&gt;=参照データ!$C$90,$AW23&lt;=参照データ!$C$88),1,IF(AND($AW23&gt;=参照データ!$C$93,$AW23&lt;=参照データ!$C$91),2,IF(AND($AW23&gt;=参照データ!$C$99,$AW23&lt;=参照データ!$C$97),3,IF(AND($AW23&gt;=参照データ!$C$105,$AW23&lt;=参照データ!$C$103),4,IF(AND($AW23&gt;=参照データ!$C$111,$AW23&lt;=参照データ!$C$109),5,IF(AND($AW23&gt;0,$AW23&lt;=参照データ!$C$112),6,""))))))</f>
        <v/>
      </c>
      <c r="DM23" s="84" t="str">
        <f>IF($AF23="選手権",(VLOOKUP($DL23,参照データ!$D$88:$K$117,6,0)),"")</f>
        <v/>
      </c>
      <c r="DN23" s="85" t="str">
        <f t="shared" si="9"/>
        <v/>
      </c>
      <c r="DO23" s="84" t="str">
        <f>IF($AH23="選手権",(VLOOKUP($DL23,参照データ!$D$88:$K$117,7,0)),"")</f>
        <v/>
      </c>
      <c r="DP23" s="85" t="str">
        <f t="shared" si="22"/>
        <v/>
      </c>
      <c r="DQ23" s="33" t="str">
        <f t="shared" si="23"/>
        <v/>
      </c>
      <c r="DR23" s="32" t="str">
        <f t="shared" si="24"/>
        <v/>
      </c>
      <c r="DS23" s="85" t="str">
        <f t="shared" si="25"/>
        <v/>
      </c>
      <c r="DT23" s="733"/>
      <c r="DU23" s="91" t="s">
        <v>96</v>
      </c>
      <c r="DV23" s="92" t="str">
        <f t="shared" si="35"/>
        <v/>
      </c>
      <c r="DW23" s="735"/>
      <c r="DX23" s="312" t="str">
        <f t="shared" ref="DX23" si="54">$DX22</f>
        <v/>
      </c>
      <c r="DZ23" s="491" t="str">
        <f t="shared" si="26"/>
        <v/>
      </c>
      <c r="EE23" s="35">
        <f>(COUNTIF($J23:$O23,"&lt;&gt;"))*参照データ!$E$3</f>
        <v>0</v>
      </c>
      <c r="EF23" s="219" t="str">
        <f>IF($Y23="○",参照データ!$E$4,"")</f>
        <v/>
      </c>
      <c r="EG23" s="18">
        <f>(SUM(COUNTIF($R23:$V23,{"入門","初級"}))*参照データ!$E$9)+(SUM(COUNTIF($R23:$V23,{"中級","上級"})*参照データ!$E$10))</f>
        <v>0</v>
      </c>
      <c r="EH23" s="18">
        <f>IFERROR(VLOOKUP($W23,参照データ!$D$9:$J$11,7,0),0)</f>
        <v>0</v>
      </c>
      <c r="EI23" s="18">
        <f>((COUNTIF($Z23:$AH23,"○"))*参照データ!$E$12)</f>
        <v>0</v>
      </c>
      <c r="EJ23" s="18" t="str">
        <f>(IF($AJ23="○",参照データ!$J$12,""))</f>
        <v/>
      </c>
      <c r="EM23" s="18">
        <f>((COUNTIF($Z23:$AH23,"選手権"))*参照データ!$E$13)</f>
        <v>0</v>
      </c>
      <c r="EN23" s="18" t="str">
        <f>(IF($AJ23="選手権",参照データ!$J$13,""))</f>
        <v/>
      </c>
      <c r="EO23" s="18">
        <f>(COUNTIF($AQ23:$AR23,"&lt;&gt;"))*参照データ!$H$3</f>
        <v>0</v>
      </c>
      <c r="EP23" s="18"/>
      <c r="EQ23" s="98">
        <f t="array" ref="EQ23">SUM(IF(ISERROR(EE23:EN23),0,(EE23:EN23)))</f>
        <v>0</v>
      </c>
      <c r="ER23" s="18"/>
      <c r="ES23" s="18">
        <f t="shared" si="10"/>
        <v>0</v>
      </c>
      <c r="ET23" s="18">
        <f t="shared" si="36"/>
        <v>0</v>
      </c>
      <c r="EU23" s="18">
        <f t="shared" si="27"/>
        <v>0</v>
      </c>
      <c r="EV23" s="18">
        <f t="shared" si="28"/>
        <v>0</v>
      </c>
      <c r="EW23" s="18">
        <f t="shared" si="29"/>
        <v>0</v>
      </c>
      <c r="EX23" s="18">
        <f t="shared" si="30"/>
        <v>0</v>
      </c>
      <c r="EY23" t="str">
        <f t="shared" si="31"/>
        <v/>
      </c>
    </row>
    <row r="24" spans="1:155" ht="18.75" customHeight="1" x14ac:dyDescent="0.2">
      <c r="A24">
        <v>13</v>
      </c>
      <c r="B24" s="14" t="str">
        <f>IF(D24="","",IF(D24="重複","",COUNTIF(B$12:$B23,"&gt;0")+1))</f>
        <v/>
      </c>
      <c r="C24" s="464"/>
      <c r="D24" s="177"/>
      <c r="E24" s="177"/>
      <c r="F24" s="31"/>
      <c r="G24" s="41"/>
      <c r="H24" s="351">
        <f t="shared" si="32"/>
        <v>0</v>
      </c>
      <c r="I24" s="193" t="str">
        <f>IF($AW24=0,"",DATEDIF($AW24,参照データ!$D$16,"Y"))</f>
        <v/>
      </c>
      <c r="J24" s="517"/>
      <c r="K24" s="517"/>
      <c r="L24" s="517"/>
      <c r="M24" s="517"/>
      <c r="N24" s="517"/>
      <c r="O24" s="518"/>
      <c r="P24" s="345"/>
      <c r="Q24" s="345"/>
      <c r="R24" s="519"/>
      <c r="S24" s="244"/>
      <c r="T24" s="244"/>
      <c r="U24" s="244"/>
      <c r="V24" s="245"/>
      <c r="W24" s="247"/>
      <c r="X24" s="250"/>
      <c r="Y24" s="345"/>
      <c r="Z24" s="388"/>
      <c r="AA24" s="346" t="str">
        <f>IF($Z24="○",VLOOKUP($CB24,参照データ!$D$65:$M$82,9,0),IF($Z24="選手権",VLOOKUP($DE24,参照データ!$D$88:$O$117,10,0),""))</f>
        <v/>
      </c>
      <c r="AB24" s="388"/>
      <c r="AC24" s="346" t="str">
        <f>IF($AB24="○",VLOOKUP($CB24,参照データ!$D$65:$M$82,10,0),IF($AB24="選手権",VLOOKUP($DE24,参照データ!$D$88:$O$117,11,0),""))</f>
        <v/>
      </c>
      <c r="AD24" s="388"/>
      <c r="AE24" s="346" t="str">
        <f>IF($AD24="○",VLOOKUP($CB24,参照データ!$D$65:$M$82,10,0),IF($AD24="選手権",VLOOKUP($DE24,参照データ!$D$88:$O$117,11,0),""))</f>
        <v/>
      </c>
      <c r="AF24" s="388"/>
      <c r="AG24" s="346" t="str">
        <f>IF($AF24="○",VLOOKUP($CB24,参照データ!$D$65:$M$82,10,0),IF($AF24="選手権",VLOOKUP($DL24,参照データ!$D$88:$O$117,12,0),""))</f>
        <v/>
      </c>
      <c r="AH24" s="388"/>
      <c r="AI24" s="346" t="str">
        <f>IF($AH24="○",VLOOKUP($CB24,参照データ!$D$65:$M$82,10,0),IF($AH24="選手権",VLOOKUP($DL24,参照データ!$D$88:$O$117,12,0),""))</f>
        <v/>
      </c>
      <c r="AJ24" s="388"/>
      <c r="AK24" s="511"/>
      <c r="AL24" s="346" t="str">
        <f t="shared" si="3"/>
        <v/>
      </c>
      <c r="AM24" s="392"/>
      <c r="AN24" s="391"/>
      <c r="AO24" s="391"/>
      <c r="AP24" s="447"/>
      <c r="AQ24" s="321"/>
      <c r="AR24" s="481"/>
      <c r="AS24" s="393"/>
      <c r="AT24" s="483"/>
      <c r="AV24" s="1" t="s">
        <v>679</v>
      </c>
      <c r="AW24">
        <f t="shared" si="45"/>
        <v>0</v>
      </c>
      <c r="AX24" t="str">
        <f t="shared" si="33"/>
        <v/>
      </c>
      <c r="AY24" s="132"/>
      <c r="BA24" s="513" t="str">
        <f>IF(団体情報・入力の仕方!$C$3&lt;&gt;"大田区大会","",IF(AW24=0,"",IF(I24&gt;=18,"○","")))</f>
        <v/>
      </c>
      <c r="BB24" s="53" t="str">
        <f>IF($AW24=0,"",IF(AND($I24&gt;=6,$I24&lt;=19),VLOOKUP($I24,参照データ!$B$24:$C$37,2,0),IF($I24&lt;6,6,19)))</f>
        <v/>
      </c>
      <c r="BC24" s="155" t="str">
        <f>IF($J24="○",VLOOKUP($BB24,参照データ!$C$24:$I$37,2,0),"")</f>
        <v/>
      </c>
      <c r="BD24" s="146" t="str">
        <f>IF($K24="○",VLOOKUP($BB24,参照データ!$C$24:$I$37,3,0),"")</f>
        <v/>
      </c>
      <c r="BE24" s="146" t="str">
        <f>IF($L24="○",VLOOKUP($BB24,参照データ!$C$24:$I$37,4,0),"")</f>
        <v/>
      </c>
      <c r="BF24" s="146" t="str">
        <f>IF($M24="○",VLOOKUP($BB24,参照データ!$C$24:$I$37,5,0),"")</f>
        <v/>
      </c>
      <c r="BG24" s="146" t="str">
        <f>IF($N24="20日",VLOOKUP($BB24,参照データ!$C$24:$I$37,6,0),"")</f>
        <v/>
      </c>
      <c r="BH24" s="156" t="str">
        <f>IF($O24="20日",VLOOKUP($BB24,参照データ!$C$24:$I$37,7,0),"")</f>
        <v/>
      </c>
      <c r="BI24" s="155" t="str">
        <f>IF($J24="21日",VLOOKUP($BB24,参照データ!$C$24:$I$37,2,0),"")</f>
        <v/>
      </c>
      <c r="BJ24" s="146" t="str">
        <f>IF($K24="21日",VLOOKUP($BB24,参照データ!$C$24:$I$37,3,0),"")</f>
        <v/>
      </c>
      <c r="BK24" s="146" t="str">
        <f>IF($L24="21日",VLOOKUP($BB24,参照データ!$C$24:$I$37,4,0),"")</f>
        <v/>
      </c>
      <c r="BL24" s="146" t="str">
        <f>IF($M24="21日",VLOOKUP($BB24,参照データ!$C$24:$I$37,5,0),"")</f>
        <v/>
      </c>
      <c r="BM24" s="146" t="str">
        <f>IF($N24="21日",VLOOKUP($BB24,参照データ!$C$24:$I$37,6,0),"")</f>
        <v/>
      </c>
      <c r="BN24" s="156" t="str">
        <f>IF($O24="21日",VLOOKUP($BB24,参照データ!$C$24:$I$37,7,0),"")</f>
        <v/>
      </c>
      <c r="BO24" s="223" t="str">
        <f t="shared" si="40"/>
        <v/>
      </c>
      <c r="BP24" s="154" t="str">
        <f>IF($R24="入門",VLOOKUP($BB24,参照データ!$C$43:$U$56,2,0),IF($R24="初級",VLOOKUP($BB24,参照データ!$C$43:$U$56,3,0),IF($R24="中級",VLOOKUP($BB24,参照データ!$C$43:$U$56,4,0),IF($R24="上級",VLOOKUP($BB24,参照データ!$C$43:$U$56,5,0),""))))</f>
        <v/>
      </c>
      <c r="BQ24" s="154" t="str">
        <f>IF($S24="初級",VLOOKUP($BB24,参照データ!$C$43:$U$56,6,0),IF($S24="中級",VLOOKUP($BB24,参照データ!$C$43:$U$56,7,0),IF($S24="上級",VLOOKUP($BB24,参照データ!$C$43:$U$56,8,0),"")))</f>
        <v/>
      </c>
      <c r="BR24" s="154" t="str">
        <f>IF($T24="初級",VLOOKUP($BB24,参照データ!$C$43:$U$56,9,0),IF($T24="上級",VLOOKUP($BB24,参照データ!$C$43:$U$56,10,0),""))</f>
        <v/>
      </c>
      <c r="BS24" s="154" t="str">
        <f>IF($U24="初級",VLOOKUP($BB24,参照データ!$C$43:$U$56,11,0),IF($U24="中級",VLOOKUP($BB24,参照データ!$C$43:$U$56,12,0),IF($U24="上級",VLOOKUP($BB24,参照データ!$C$43:$U$56,13,0),"")))</f>
        <v/>
      </c>
      <c r="BT24" s="154" t="str">
        <f>IF($V24="初級",VLOOKUP($BB24,参照データ!$C$43:$U$56,14,0),IF($V24="中級",VLOOKUP($BB24,参照データ!$C$43:$U$56,15,0),IF($V24="上級",VLOOKUP($BB24,参照データ!$C$43:$U$56,16,0),"")))</f>
        <v/>
      </c>
      <c r="BU24" s="47" t="str">
        <f t="shared" si="4"/>
        <v/>
      </c>
      <c r="BV24" s="47" t="str">
        <f>IF($W24="初級",VLOOKUP($BB24,参照データ!$C$43:$U$56,17,0),IF($W24="中級",VLOOKUP($BB24,参照データ!$C$43:$U$56,18,0),IF($W24="上級",VLOOKUP($BB24,参照データ!$C$43:$U$56,19,0),"")))</f>
        <v/>
      </c>
      <c r="BW24" s="686">
        <v>7</v>
      </c>
      <c r="BX24" s="66" t="s">
        <v>97</v>
      </c>
      <c r="BY24" s="136" t="str">
        <f t="shared" si="11"/>
        <v/>
      </c>
      <c r="BZ24" s="688" t="str">
        <f t="shared" ref="BZ24" si="55">IF(OR($BY24="",$BY25=""),"",IF($BY24&gt;$BY25,$BY24,$BY25))</f>
        <v/>
      </c>
      <c r="CB24" s="53" t="str">
        <f>IF(AND($AW24&gt;=参照データ!$C$67,$AW24&lt;=参照データ!$C$65),1,IF(AND($AW24&gt;=参照データ!$C$70,$AW24&lt;=参照データ!$C$68),2,IF(AND($AW24&gt;=参照データ!$C$73,$AW24&lt;=参照データ!$C$71),3,IF(AND($AW24&gt;=参照データ!$C$76,$AW24&lt;=参照データ!$C$74),4,IF(AND($AW24&gt;=参照データ!$C$79,$AW24&lt;=参照データ!$C$77),5,IF(AND($AW24&gt;0,$AW24&lt;=参照データ!$C$80),6,""))))))</f>
        <v/>
      </c>
      <c r="CC24" s="141" t="str">
        <f>IF($Z24="○",(VLOOKUP($CB24,参照データ!$D$65:$J$82,2,0)),"")</f>
        <v/>
      </c>
      <c r="CD24" s="71" t="str">
        <f t="shared" si="12"/>
        <v/>
      </c>
      <c r="CE24" s="70" t="str">
        <f>IF($AB24="○",(VLOOKUP($CB24,参照データ!$D$65:$J$82,3,0)),"")</f>
        <v/>
      </c>
      <c r="CF24" s="71" t="str">
        <f t="shared" si="13"/>
        <v/>
      </c>
      <c r="CG24" s="70" t="str">
        <f>IF($AD24="○",(VLOOKUP($CB24,参照データ!$D$65:$J$82,4,0)),"")</f>
        <v/>
      </c>
      <c r="CH24" s="71" t="str">
        <f t="shared" si="14"/>
        <v/>
      </c>
      <c r="CI24" s="70" t="str">
        <f>IF($AF24="○",(VLOOKUP($CB24,参照データ!$D$65:$J$82,5,0)),"")</f>
        <v/>
      </c>
      <c r="CJ24" s="71" t="str">
        <f t="shared" si="5"/>
        <v/>
      </c>
      <c r="CK24" s="70" t="str">
        <f>IF($AH24="○",(VLOOKUP($CB24,参照データ!$D$65:$J$82,6,0)),"")</f>
        <v/>
      </c>
      <c r="CL24" s="71" t="str">
        <f t="shared" si="15"/>
        <v/>
      </c>
      <c r="CM24" s="33" t="str">
        <f t="shared" si="16"/>
        <v/>
      </c>
      <c r="CN24" s="32" t="str">
        <f t="shared" si="17"/>
        <v/>
      </c>
      <c r="CO24" s="71" t="str">
        <f t="shared" si="18"/>
        <v/>
      </c>
      <c r="CP24" s="681">
        <v>7</v>
      </c>
      <c r="CQ24" s="79" t="s">
        <v>97</v>
      </c>
      <c r="CR24" s="80" t="str">
        <f t="shared" si="19"/>
        <v/>
      </c>
      <c r="CS24" s="683" t="e">
        <f>IF($CR24&gt;$CR25,VLOOKUP($CR24,参照データ!$D$65:$J$82,7,0),VLOOKUP($CR25,参照データ!$D$65:$J$82,7,0))</f>
        <v>#N/A</v>
      </c>
      <c r="CT24" s="308" t="str">
        <f>IFERROR(VLOOKUP($CS24,参照データ!$J$65:$M$82,4,0),"")</f>
        <v/>
      </c>
      <c r="CU24" s="70"/>
      <c r="CV24" s="172" t="str">
        <f t="shared" si="20"/>
        <v/>
      </c>
      <c r="CX24" s="32"/>
      <c r="CY24" s="161" t="str">
        <f t="shared" si="21"/>
        <v/>
      </c>
      <c r="CZ24" s="743">
        <v>7</v>
      </c>
      <c r="DA24" s="166" t="s">
        <v>97</v>
      </c>
      <c r="DB24" s="167" t="str">
        <f t="shared" si="42"/>
        <v/>
      </c>
      <c r="DC24" s="741" t="str">
        <f>IF(OR(DB24="",DB25=""),"",IF(DB24&gt;DB25,DB24,DB25))</f>
        <v/>
      </c>
      <c r="DD24" t="str">
        <f>IF($DE24="","",DATEDIF($AW24,参照データ!$D$19,"Y"))</f>
        <v/>
      </c>
      <c r="DE24" s="253" t="str">
        <f>IFERROR(IF($AX24="男子",VLOOKUP($DL24,参照データ!$D$88:$E$117,2,0),$DL24),0)</f>
        <v/>
      </c>
      <c r="DF24" s="84" t="str">
        <f>IF($Z24="選手権",(VLOOKUP($DE24,参照データ!$D$88:$K$117,3,0)),"")</f>
        <v/>
      </c>
      <c r="DG24" s="85" t="str">
        <f t="shared" si="6"/>
        <v/>
      </c>
      <c r="DH24" s="84" t="str">
        <f>IF($AB24="選手権",(VLOOKUP($DE24,参照データ!$D$88:$K$117,4,0)),"")</f>
        <v/>
      </c>
      <c r="DI24" s="85" t="str">
        <f t="shared" si="7"/>
        <v/>
      </c>
      <c r="DJ24" s="84" t="str">
        <f>IF($AD24="選手権",(VLOOKUP($DE24,参照データ!$D$88:$K$117,5,0)),"")</f>
        <v/>
      </c>
      <c r="DK24" s="85" t="str">
        <f t="shared" si="8"/>
        <v/>
      </c>
      <c r="DL24" s="53" t="str">
        <f>IF(AND($AW24&gt;=参照データ!$C$90,$AW24&lt;=参照データ!$C$88),1,IF(AND($AW24&gt;=参照データ!$C$93,$AW24&lt;=参照データ!$C$91),2,IF(AND($AW24&gt;=参照データ!$C$99,$AW24&lt;=参照データ!$C$97),3,IF(AND($AW24&gt;=参照データ!$C$105,$AW24&lt;=参照データ!$C$103),4,IF(AND($AW24&gt;=参照データ!$C$111,$AW24&lt;=参照データ!$C$109),5,IF(AND($AW24&gt;0,$AW24&lt;=参照データ!$C$112),6,""))))))</f>
        <v/>
      </c>
      <c r="DM24" s="84" t="str">
        <f>IF($AF24="選手権",(VLOOKUP($DL24,参照データ!$D$88:$K$117,6,0)),"")</f>
        <v/>
      </c>
      <c r="DN24" s="85" t="str">
        <f t="shared" si="9"/>
        <v/>
      </c>
      <c r="DO24" s="84" t="str">
        <f>IF($AH24="選手権",(VLOOKUP($DL24,参照データ!$D$88:$K$117,7,0)),"")</f>
        <v/>
      </c>
      <c r="DP24" s="85" t="str">
        <f t="shared" si="22"/>
        <v/>
      </c>
      <c r="DQ24" s="33" t="str">
        <f t="shared" si="23"/>
        <v/>
      </c>
      <c r="DR24" s="32" t="str">
        <f t="shared" si="24"/>
        <v/>
      </c>
      <c r="DS24" s="85" t="str">
        <f t="shared" si="25"/>
        <v/>
      </c>
      <c r="DT24" s="736">
        <v>7</v>
      </c>
      <c r="DU24" s="93" t="s">
        <v>97</v>
      </c>
      <c r="DV24" s="94" t="str">
        <f t="shared" si="35"/>
        <v/>
      </c>
      <c r="DW24" s="737" t="e">
        <f>IF($DV24&gt;$DV25,VLOOKUP($DV24,参照データ!$D$88:$K$117,8,0),VLOOKUP($DV25,参照データ!$D$88:$K$117,8,0))</f>
        <v>#N/A</v>
      </c>
      <c r="DX24" s="312" t="str">
        <f>IFERROR(VLOOKUP($DW24,参照データ!$K$88:$O$117,5,0),"")</f>
        <v/>
      </c>
      <c r="DZ24" s="491" t="str">
        <f t="shared" si="26"/>
        <v/>
      </c>
      <c r="EE24" s="35">
        <f>(COUNTIF($J24:$O24,"&lt;&gt;"))*参照データ!$E$3</f>
        <v>0</v>
      </c>
      <c r="EF24" s="219" t="str">
        <f>IF($Y24="○",参照データ!$E$4,"")</f>
        <v/>
      </c>
      <c r="EG24" s="18">
        <f>(SUM(COUNTIF($R24:$V24,{"入門","初級"}))*参照データ!$E$9)+(SUM(COUNTIF($R24:$V24,{"中級","上級"})*参照データ!$E$10))</f>
        <v>0</v>
      </c>
      <c r="EH24" s="18">
        <f>IFERROR(VLOOKUP($W24,参照データ!$D$9:$J$11,7,0),0)</f>
        <v>0</v>
      </c>
      <c r="EI24" s="18">
        <f>((COUNTIF($Z24:$AH24,"○"))*参照データ!$E$12)</f>
        <v>0</v>
      </c>
      <c r="EJ24" s="18" t="str">
        <f>(IF($AJ24="○",参照データ!$J$12,""))</f>
        <v/>
      </c>
      <c r="EM24" s="18">
        <f>((COUNTIF($Z24:$AH24,"選手権"))*参照データ!$E$13)</f>
        <v>0</v>
      </c>
      <c r="EN24" s="18" t="str">
        <f>(IF($AJ24="選手権",参照データ!$J$13,""))</f>
        <v/>
      </c>
      <c r="EO24" s="18">
        <f>(COUNTIF($AQ24:$AR24,"&lt;&gt;"))*参照データ!$H$3</f>
        <v>0</v>
      </c>
      <c r="EP24" s="18"/>
      <c r="EQ24" s="98">
        <f t="array" ref="EQ24">SUM(IF(ISERROR(EE24:EN24),0,(EE24:EN24)))</f>
        <v>0</v>
      </c>
      <c r="ER24" s="18"/>
      <c r="ES24" s="18">
        <f t="shared" si="10"/>
        <v>0</v>
      </c>
      <c r="ET24" s="18">
        <f t="shared" si="36"/>
        <v>0</v>
      </c>
      <c r="EU24" s="18">
        <f t="shared" si="27"/>
        <v>0</v>
      </c>
      <c r="EV24" s="18">
        <f t="shared" si="28"/>
        <v>0</v>
      </c>
      <c r="EW24" s="18">
        <f t="shared" si="29"/>
        <v>0</v>
      </c>
      <c r="EX24" s="18">
        <f t="shared" si="30"/>
        <v>0</v>
      </c>
      <c r="EY24" t="str">
        <f t="shared" si="31"/>
        <v/>
      </c>
    </row>
    <row r="25" spans="1:155" ht="18.75" customHeight="1" x14ac:dyDescent="0.2">
      <c r="A25">
        <v>14</v>
      </c>
      <c r="B25" s="14" t="str">
        <f>IF(D25="","",IF(D25="重複","",COUNTIF(B$12:$B24,"&gt;0")+1))</f>
        <v/>
      </c>
      <c r="C25" s="464"/>
      <c r="D25" s="177"/>
      <c r="E25" s="177"/>
      <c r="F25" s="31"/>
      <c r="G25" s="41"/>
      <c r="H25" s="351">
        <f t="shared" si="32"/>
        <v>0</v>
      </c>
      <c r="I25" s="193" t="str">
        <f>IF($AW25=0,"",DATEDIF($AW25,参照データ!$D$16,"Y"))</f>
        <v/>
      </c>
      <c r="J25" s="517"/>
      <c r="K25" s="517"/>
      <c r="L25" s="517"/>
      <c r="M25" s="517"/>
      <c r="N25" s="517"/>
      <c r="O25" s="518"/>
      <c r="P25" s="345"/>
      <c r="Q25" s="345"/>
      <c r="R25" s="519"/>
      <c r="S25" s="244"/>
      <c r="T25" s="244"/>
      <c r="U25" s="244"/>
      <c r="V25" s="245"/>
      <c r="W25" s="247"/>
      <c r="X25" s="250"/>
      <c r="Y25" s="345"/>
      <c r="Z25" s="388"/>
      <c r="AA25" s="346" t="str">
        <f>IF($Z25="○",VLOOKUP($CB25,参照データ!$D$65:$M$82,9,0),IF($Z25="選手権",VLOOKUP($DE25,参照データ!$D$88:$O$117,10,0),""))</f>
        <v/>
      </c>
      <c r="AB25" s="388"/>
      <c r="AC25" s="346" t="str">
        <f>IF($AB25="○",VLOOKUP($CB25,参照データ!$D$65:$M$82,10,0),IF($AB25="選手権",VLOOKUP($DE25,参照データ!$D$88:$O$117,11,0),""))</f>
        <v/>
      </c>
      <c r="AD25" s="388"/>
      <c r="AE25" s="346" t="str">
        <f>IF($AD25="○",VLOOKUP($CB25,参照データ!$D$65:$M$82,10,0),IF($AD25="選手権",VLOOKUP($DE25,参照データ!$D$88:$O$117,11,0),""))</f>
        <v/>
      </c>
      <c r="AF25" s="388"/>
      <c r="AG25" s="346" t="str">
        <f>IF($AF25="○",VLOOKUP($CB25,参照データ!$D$65:$M$82,10,0),IF($AF25="選手権",VLOOKUP($DL25,参照データ!$D$88:$O$117,12,0),""))</f>
        <v/>
      </c>
      <c r="AH25" s="388"/>
      <c r="AI25" s="346" t="str">
        <f>IF($AH25="○",VLOOKUP($CB25,参照データ!$D$65:$M$82,10,0),IF($AH25="選手権",VLOOKUP($DL25,参照データ!$D$88:$O$117,12,0),""))</f>
        <v/>
      </c>
      <c r="AJ25" s="388"/>
      <c r="AK25" s="511"/>
      <c r="AL25" s="346" t="str">
        <f t="shared" si="3"/>
        <v/>
      </c>
      <c r="AM25" s="392"/>
      <c r="AN25" s="391"/>
      <c r="AO25" s="391"/>
      <c r="AP25" s="447"/>
      <c r="AQ25" s="321"/>
      <c r="AR25" s="481"/>
      <c r="AS25" s="393"/>
      <c r="AT25" s="483"/>
      <c r="AW25">
        <f t="shared" si="45"/>
        <v>0</v>
      </c>
      <c r="AX25" t="str">
        <f t="shared" si="33"/>
        <v/>
      </c>
      <c r="AY25" s="132"/>
      <c r="BA25" s="513" t="str">
        <f>IF(団体情報・入力の仕方!$C$3&lt;&gt;"大田区大会","",IF(AW25=0,"",IF(I25&gt;=18,"○","")))</f>
        <v/>
      </c>
      <c r="BB25" s="53" t="str">
        <f>IF($AW25=0,"",IF(AND($I25&gt;=6,$I25&lt;=19),VLOOKUP($I25,参照データ!$B$24:$C$37,2,0),IF($I25&lt;6,6,19)))</f>
        <v/>
      </c>
      <c r="BC25" s="155" t="str">
        <f>IF($J25="○",VLOOKUP($BB25,参照データ!$C$24:$I$37,2,0),"")</f>
        <v/>
      </c>
      <c r="BD25" s="146" t="str">
        <f>IF($K25="○",VLOOKUP($BB25,参照データ!$C$24:$I$37,3,0),"")</f>
        <v/>
      </c>
      <c r="BE25" s="146" t="str">
        <f>IF($L25="○",VLOOKUP($BB25,参照データ!$C$24:$I$37,4,0),"")</f>
        <v/>
      </c>
      <c r="BF25" s="146" t="str">
        <f>IF($M25="○",VLOOKUP($BB25,参照データ!$C$24:$I$37,5,0),"")</f>
        <v/>
      </c>
      <c r="BG25" s="146" t="str">
        <f>IF($N25="20日",VLOOKUP($BB25,参照データ!$C$24:$I$37,6,0),"")</f>
        <v/>
      </c>
      <c r="BH25" s="156" t="str">
        <f>IF($O25="20日",VLOOKUP($BB25,参照データ!$C$24:$I$37,7,0),"")</f>
        <v/>
      </c>
      <c r="BI25" s="155" t="str">
        <f>IF($J25="21日",VLOOKUP($BB25,参照データ!$C$24:$I$37,2,0),"")</f>
        <v/>
      </c>
      <c r="BJ25" s="146" t="str">
        <f>IF($K25="21日",VLOOKUP($BB25,参照データ!$C$24:$I$37,3,0),"")</f>
        <v/>
      </c>
      <c r="BK25" s="146" t="str">
        <f>IF($L25="21日",VLOOKUP($BB25,参照データ!$C$24:$I$37,4,0),"")</f>
        <v/>
      </c>
      <c r="BL25" s="146" t="str">
        <f>IF($M25="21日",VLOOKUP($BB25,参照データ!$C$24:$I$37,5,0),"")</f>
        <v/>
      </c>
      <c r="BM25" s="146" t="str">
        <f>IF($N25="21日",VLOOKUP($BB25,参照データ!$C$24:$I$37,6,0),"")</f>
        <v/>
      </c>
      <c r="BN25" s="156" t="str">
        <f>IF($O25="21日",VLOOKUP($BB25,参照データ!$C$24:$I$37,7,0),"")</f>
        <v/>
      </c>
      <c r="BO25" s="223" t="str">
        <f t="shared" si="40"/>
        <v/>
      </c>
      <c r="BP25" s="154" t="str">
        <f>IF($R25="入門",VLOOKUP($BB25,参照データ!$C$43:$U$56,2,0),IF($R25="初級",VLOOKUP($BB25,参照データ!$C$43:$U$56,3,0),IF($R25="中級",VLOOKUP($BB25,参照データ!$C$43:$U$56,4,0),IF($R25="上級",VLOOKUP($BB25,参照データ!$C$43:$U$56,5,0),""))))</f>
        <v/>
      </c>
      <c r="BQ25" s="154" t="str">
        <f>IF($S25="初級",VLOOKUP($BB25,参照データ!$C$43:$U$56,6,0),IF($S25="中級",VLOOKUP($BB25,参照データ!$C$43:$U$56,7,0),IF($S25="上級",VLOOKUP($BB25,参照データ!$C$43:$U$56,8,0),"")))</f>
        <v/>
      </c>
      <c r="BR25" s="154" t="str">
        <f>IF($T25="初級",VLOOKUP($BB25,参照データ!$C$43:$U$56,9,0),IF($T25="上級",VLOOKUP($BB25,参照データ!$C$43:$U$56,10,0),""))</f>
        <v/>
      </c>
      <c r="BS25" s="154" t="str">
        <f>IF($U25="初級",VLOOKUP($BB25,参照データ!$C$43:$U$56,11,0),IF($U25="中級",VLOOKUP($BB25,参照データ!$C$43:$U$56,12,0),IF($U25="上級",VLOOKUP($BB25,参照データ!$C$43:$U$56,13,0),"")))</f>
        <v/>
      </c>
      <c r="BT25" s="154" t="str">
        <f>IF($V25="初級",VLOOKUP($BB25,参照データ!$C$43:$U$56,14,0),IF($V25="中級",VLOOKUP($BB25,参照データ!$C$43:$U$56,15,0),IF($V25="上級",VLOOKUP($BB25,参照データ!$C$43:$U$56,16,0),"")))</f>
        <v/>
      </c>
      <c r="BU25" s="47" t="str">
        <f t="shared" si="4"/>
        <v/>
      </c>
      <c r="BV25" s="47" t="str">
        <f>IF($W25="初級",VLOOKUP($BB25,参照データ!$C$43:$U$56,17,0),IF($W25="中級",VLOOKUP($BB25,参照データ!$C$43:$U$56,18,0),IF($W25="上級",VLOOKUP($BB25,参照データ!$C$43:$U$56,19,0),"")))</f>
        <v/>
      </c>
      <c r="BW25" s="687"/>
      <c r="BX25" s="65" t="s">
        <v>98</v>
      </c>
      <c r="BY25" s="135" t="str">
        <f t="shared" si="11"/>
        <v/>
      </c>
      <c r="BZ25" s="689"/>
      <c r="CB25" s="53" t="str">
        <f>IF(AND($AW25&gt;=参照データ!$C$67,$AW25&lt;=参照データ!$C$65),1,IF(AND($AW25&gt;=参照データ!$C$70,$AW25&lt;=参照データ!$C$68),2,IF(AND($AW25&gt;=参照データ!$C$73,$AW25&lt;=参照データ!$C$71),3,IF(AND($AW25&gt;=参照データ!$C$76,$AW25&lt;=参照データ!$C$74),4,IF(AND($AW25&gt;=参照データ!$C$79,$AW25&lt;=参照データ!$C$77),5,IF(AND($AW25&gt;0,$AW25&lt;=参照データ!$C$80),6,""))))))</f>
        <v/>
      </c>
      <c r="CC25" s="141" t="str">
        <f>IF($Z25="○",(VLOOKUP($CB25,参照データ!$D$65:$J$82,2,0)),"")</f>
        <v/>
      </c>
      <c r="CD25" s="71" t="str">
        <f t="shared" si="12"/>
        <v/>
      </c>
      <c r="CE25" s="70" t="str">
        <f>IF($AB25="○",(VLOOKUP($CB25,参照データ!$D$65:$J$82,3,0)),"")</f>
        <v/>
      </c>
      <c r="CF25" s="71" t="str">
        <f t="shared" si="13"/>
        <v/>
      </c>
      <c r="CG25" s="70" t="str">
        <f>IF($AD25="○",(VLOOKUP($CB25,参照データ!$D$65:$J$82,4,0)),"")</f>
        <v/>
      </c>
      <c r="CH25" s="71" t="str">
        <f t="shared" si="14"/>
        <v/>
      </c>
      <c r="CI25" s="70" t="str">
        <f>IF($AF25="○",(VLOOKUP($CB25,参照データ!$D$65:$J$82,5,0)),"")</f>
        <v/>
      </c>
      <c r="CJ25" s="71" t="str">
        <f t="shared" si="5"/>
        <v/>
      </c>
      <c r="CK25" s="70" t="str">
        <f>IF($AH25="○",(VLOOKUP($CB25,参照データ!$D$65:$J$82,6,0)),"")</f>
        <v/>
      </c>
      <c r="CL25" s="71" t="str">
        <f t="shared" si="15"/>
        <v/>
      </c>
      <c r="CM25" s="33" t="str">
        <f t="shared" si="16"/>
        <v/>
      </c>
      <c r="CN25" s="32" t="str">
        <f t="shared" si="17"/>
        <v/>
      </c>
      <c r="CO25" s="71" t="str">
        <f t="shared" si="18"/>
        <v/>
      </c>
      <c r="CP25" s="682"/>
      <c r="CQ25" s="77" t="s">
        <v>98</v>
      </c>
      <c r="CR25" s="78" t="str">
        <f t="shared" si="19"/>
        <v/>
      </c>
      <c r="CS25" s="684"/>
      <c r="CT25" s="308" t="str">
        <f t="shared" ref="CT25" si="56">$CT24</f>
        <v/>
      </c>
      <c r="CU25" s="70"/>
      <c r="CV25" s="172" t="str">
        <f t="shared" si="20"/>
        <v/>
      </c>
      <c r="CX25" s="32"/>
      <c r="CY25" s="161" t="str">
        <f t="shared" si="21"/>
        <v/>
      </c>
      <c r="CZ25" s="744"/>
      <c r="DA25" s="164" t="s">
        <v>98</v>
      </c>
      <c r="DB25" s="165" t="str">
        <f t="shared" si="42"/>
        <v/>
      </c>
      <c r="DC25" s="742"/>
      <c r="DD25" t="str">
        <f>IF($DE25="","",DATEDIF($AW25,参照データ!$D$19,"Y"))</f>
        <v/>
      </c>
      <c r="DE25" s="253" t="str">
        <f>IFERROR(IF($AX25="男子",VLOOKUP($DL25,参照データ!$D$88:$E$117,2,0),$DL25),0)</f>
        <v/>
      </c>
      <c r="DF25" s="84" t="str">
        <f>IF($Z25="選手権",(VLOOKUP($DE25,参照データ!$D$88:$K$117,3,0)),"")</f>
        <v/>
      </c>
      <c r="DG25" s="85" t="str">
        <f t="shared" si="6"/>
        <v/>
      </c>
      <c r="DH25" s="84" t="str">
        <f>IF($AB25="選手権",(VLOOKUP($DE25,参照データ!$D$88:$K$117,4,0)),"")</f>
        <v/>
      </c>
      <c r="DI25" s="85" t="str">
        <f t="shared" si="7"/>
        <v/>
      </c>
      <c r="DJ25" s="84" t="str">
        <f>IF($AD25="選手権",(VLOOKUP($DE25,参照データ!$D$88:$K$117,5,0)),"")</f>
        <v/>
      </c>
      <c r="DK25" s="85" t="str">
        <f t="shared" si="8"/>
        <v/>
      </c>
      <c r="DL25" s="53" t="str">
        <f>IF(AND($AW25&gt;=参照データ!$C$90,$AW25&lt;=参照データ!$C$88),1,IF(AND($AW25&gt;=参照データ!$C$93,$AW25&lt;=参照データ!$C$91),2,IF(AND($AW25&gt;=参照データ!$C$99,$AW25&lt;=参照データ!$C$97),3,IF(AND($AW25&gt;=参照データ!$C$105,$AW25&lt;=参照データ!$C$103),4,IF(AND($AW25&gt;=参照データ!$C$111,$AW25&lt;=参照データ!$C$109),5,IF(AND($AW25&gt;0,$AW25&lt;=参照データ!$C$112),6,""))))))</f>
        <v/>
      </c>
      <c r="DM25" s="84" t="str">
        <f>IF($AF25="選手権",(VLOOKUP($DL25,参照データ!$D$88:$K$117,6,0)),"")</f>
        <v/>
      </c>
      <c r="DN25" s="85" t="str">
        <f t="shared" si="9"/>
        <v/>
      </c>
      <c r="DO25" s="84" t="str">
        <f>IF($AH25="選手権",(VLOOKUP($DL25,参照データ!$D$88:$K$117,7,0)),"")</f>
        <v/>
      </c>
      <c r="DP25" s="85" t="str">
        <f t="shared" si="22"/>
        <v/>
      </c>
      <c r="DQ25" s="33" t="str">
        <f t="shared" si="23"/>
        <v/>
      </c>
      <c r="DR25" s="32" t="str">
        <f t="shared" si="24"/>
        <v/>
      </c>
      <c r="DS25" s="85" t="str">
        <f t="shared" si="25"/>
        <v/>
      </c>
      <c r="DT25" s="733"/>
      <c r="DU25" s="91" t="s">
        <v>98</v>
      </c>
      <c r="DV25" s="92" t="str">
        <f t="shared" si="35"/>
        <v/>
      </c>
      <c r="DW25" s="735"/>
      <c r="DX25" s="312" t="str">
        <f t="shared" ref="DX25" si="57">$DX24</f>
        <v/>
      </c>
      <c r="DZ25" s="491" t="str">
        <f t="shared" si="26"/>
        <v/>
      </c>
      <c r="EE25" s="35">
        <f>(COUNTIF($J25:$O25,"&lt;&gt;"))*参照データ!$E$3</f>
        <v>0</v>
      </c>
      <c r="EF25" s="219" t="str">
        <f>IF($Y25="○",参照データ!$E$4,"")</f>
        <v/>
      </c>
      <c r="EG25" s="18">
        <f>(SUM(COUNTIF($R25:$V25,{"入門","初級"}))*参照データ!$E$9)+(SUM(COUNTIF($R25:$V25,{"中級","上級"})*参照データ!$E$10))</f>
        <v>0</v>
      </c>
      <c r="EH25" s="18">
        <f>IFERROR(VLOOKUP($W25,参照データ!$D$9:$J$11,7,0),0)</f>
        <v>0</v>
      </c>
      <c r="EI25" s="18">
        <f>((COUNTIF($Z25:$AH25,"○"))*参照データ!$E$12)</f>
        <v>0</v>
      </c>
      <c r="EJ25" s="18" t="str">
        <f>(IF($AJ25="○",参照データ!$J$12,""))</f>
        <v/>
      </c>
      <c r="EM25" s="18">
        <f>((COUNTIF($Z25:$AH25,"選手権"))*参照データ!$E$13)</f>
        <v>0</v>
      </c>
      <c r="EN25" s="18" t="str">
        <f>(IF($AJ25="選手権",参照データ!$J$13,""))</f>
        <v/>
      </c>
      <c r="EO25" s="18">
        <f>(COUNTIF($AQ25:$AR25,"&lt;&gt;"))*参照データ!$H$3</f>
        <v>0</v>
      </c>
      <c r="EP25" s="18"/>
      <c r="EQ25" s="98">
        <f t="array" ref="EQ25">SUM(IF(ISERROR(EE25:EN25),0,(EE25:EN25)))</f>
        <v>0</v>
      </c>
      <c r="ER25" s="18"/>
      <c r="ES25" s="18">
        <f t="shared" si="10"/>
        <v>0</v>
      </c>
      <c r="ET25" s="18">
        <f t="shared" si="36"/>
        <v>0</v>
      </c>
      <c r="EU25" s="18">
        <f t="shared" si="27"/>
        <v>0</v>
      </c>
      <c r="EV25" s="18">
        <f t="shared" si="28"/>
        <v>0</v>
      </c>
      <c r="EW25" s="18">
        <f t="shared" si="29"/>
        <v>0</v>
      </c>
      <c r="EX25" s="18">
        <f t="shared" si="30"/>
        <v>0</v>
      </c>
      <c r="EY25" t="str">
        <f t="shared" si="31"/>
        <v/>
      </c>
    </row>
    <row r="26" spans="1:155" ht="18.75" customHeight="1" x14ac:dyDescent="0.2">
      <c r="A26">
        <v>15</v>
      </c>
      <c r="B26" s="14" t="str">
        <f>IF(D26="","",IF(D26="重複","",COUNTIF(B$12:$B25,"&gt;0")+1))</f>
        <v/>
      </c>
      <c r="C26" s="464"/>
      <c r="D26" s="177"/>
      <c r="E26" s="177"/>
      <c r="F26" s="31"/>
      <c r="G26" s="41"/>
      <c r="H26" s="351">
        <f t="shared" si="32"/>
        <v>0</v>
      </c>
      <c r="I26" s="193" t="str">
        <f>IF($AW26=0,"",DATEDIF($AW26,参照データ!$D$16,"Y"))</f>
        <v/>
      </c>
      <c r="J26" s="517"/>
      <c r="K26" s="517"/>
      <c r="L26" s="517"/>
      <c r="M26" s="517"/>
      <c r="N26" s="517"/>
      <c r="O26" s="518"/>
      <c r="P26" s="345"/>
      <c r="Q26" s="345"/>
      <c r="R26" s="519"/>
      <c r="S26" s="244"/>
      <c r="T26" s="244"/>
      <c r="U26" s="244"/>
      <c r="V26" s="245"/>
      <c r="W26" s="247"/>
      <c r="X26" s="250"/>
      <c r="Y26" s="345"/>
      <c r="Z26" s="388"/>
      <c r="AA26" s="346" t="str">
        <f>IF($Z26="○",VLOOKUP($CB26,参照データ!$D$65:$M$82,9,0),IF($Z26="選手権",VLOOKUP($DE26,参照データ!$D$88:$O$117,10,0),""))</f>
        <v/>
      </c>
      <c r="AB26" s="388"/>
      <c r="AC26" s="346" t="str">
        <f>IF($AB26="○",VLOOKUP($CB26,参照データ!$D$65:$M$82,10,0),IF($AB26="選手権",VLOOKUP($DE26,参照データ!$D$88:$O$117,11,0),""))</f>
        <v/>
      </c>
      <c r="AD26" s="388"/>
      <c r="AE26" s="346" t="str">
        <f>IF($AD26="○",VLOOKUP($CB26,参照データ!$D$65:$M$82,10,0),IF($AD26="選手権",VLOOKUP($DE26,参照データ!$D$88:$O$117,11,0),""))</f>
        <v/>
      </c>
      <c r="AF26" s="388"/>
      <c r="AG26" s="346" t="str">
        <f>IF($AF26="○",VLOOKUP($CB26,参照データ!$D$65:$M$82,10,0),IF($AF26="選手権",VLOOKUP($DL26,参照データ!$D$88:$O$117,12,0),""))</f>
        <v/>
      </c>
      <c r="AH26" s="388"/>
      <c r="AI26" s="346" t="str">
        <f>IF($AH26="○",VLOOKUP($CB26,参照データ!$D$65:$M$82,10,0),IF($AH26="選手権",VLOOKUP($DL26,参照データ!$D$88:$O$117,12,0),""))</f>
        <v/>
      </c>
      <c r="AJ26" s="388"/>
      <c r="AK26" s="511"/>
      <c r="AL26" s="346" t="str">
        <f t="shared" si="3"/>
        <v/>
      </c>
      <c r="AM26" s="392"/>
      <c r="AN26" s="391"/>
      <c r="AO26" s="391"/>
      <c r="AP26" s="447"/>
      <c r="AQ26" s="321"/>
      <c r="AR26" s="481"/>
      <c r="AS26" s="393"/>
      <c r="AT26" s="483"/>
      <c r="AW26">
        <f t="shared" si="45"/>
        <v>0</v>
      </c>
      <c r="AX26" t="str">
        <f t="shared" si="33"/>
        <v/>
      </c>
      <c r="AY26" s="132"/>
      <c r="BA26" s="513" t="str">
        <f>IF(団体情報・入力の仕方!$C$3&lt;&gt;"大田区大会","",IF(AW26=0,"",IF(I26&gt;=18,"○","")))</f>
        <v/>
      </c>
      <c r="BB26" s="53" t="str">
        <f>IF($AW26=0,"",IF(AND($I26&gt;=6,$I26&lt;=19),VLOOKUP($I26,参照データ!$B$24:$C$37,2,0),IF($I26&lt;6,6,19)))</f>
        <v/>
      </c>
      <c r="BC26" s="155" t="str">
        <f>IF($J26="○",VLOOKUP($BB26,参照データ!$C$24:$I$37,2,0),"")</f>
        <v/>
      </c>
      <c r="BD26" s="146" t="str">
        <f>IF($K26="○",VLOOKUP($BB26,参照データ!$C$24:$I$37,3,0),"")</f>
        <v/>
      </c>
      <c r="BE26" s="146" t="str">
        <f>IF($L26="○",VLOOKUP($BB26,参照データ!$C$24:$I$37,4,0),"")</f>
        <v/>
      </c>
      <c r="BF26" s="146" t="str">
        <f>IF($M26="○",VLOOKUP($BB26,参照データ!$C$24:$I$37,5,0),"")</f>
        <v/>
      </c>
      <c r="BG26" s="146" t="str">
        <f>IF($N26="20日",VLOOKUP($BB26,参照データ!$C$24:$I$37,6,0),"")</f>
        <v/>
      </c>
      <c r="BH26" s="156" t="str">
        <f>IF($O26="20日",VLOOKUP($BB26,参照データ!$C$24:$I$37,7,0),"")</f>
        <v/>
      </c>
      <c r="BI26" s="155" t="str">
        <f>IF($J26="21日",VLOOKUP($BB26,参照データ!$C$24:$I$37,2,0),"")</f>
        <v/>
      </c>
      <c r="BJ26" s="146" t="str">
        <f>IF($K26="21日",VLOOKUP($BB26,参照データ!$C$24:$I$37,3,0),"")</f>
        <v/>
      </c>
      <c r="BK26" s="146" t="str">
        <f>IF($L26="21日",VLOOKUP($BB26,参照データ!$C$24:$I$37,4,0),"")</f>
        <v/>
      </c>
      <c r="BL26" s="146" t="str">
        <f>IF($M26="21日",VLOOKUP($BB26,参照データ!$C$24:$I$37,5,0),"")</f>
        <v/>
      </c>
      <c r="BM26" s="146" t="str">
        <f>IF($N26="21日",VLOOKUP($BB26,参照データ!$C$24:$I$37,6,0),"")</f>
        <v/>
      </c>
      <c r="BN26" s="156" t="str">
        <f>IF($O26="21日",VLOOKUP($BB26,参照データ!$C$24:$I$37,7,0),"")</f>
        <v/>
      </c>
      <c r="BO26" s="223" t="str">
        <f t="shared" si="40"/>
        <v/>
      </c>
      <c r="BP26" s="154" t="str">
        <f>IF($R26="入門",VLOOKUP($BB26,参照データ!$C$43:$U$56,2,0),IF($R26="初級",VLOOKUP($BB26,参照データ!$C$43:$U$56,3,0),IF($R26="中級",VLOOKUP($BB26,参照データ!$C$43:$U$56,4,0),IF($R26="上級",VLOOKUP($BB26,参照データ!$C$43:$U$56,5,0),""))))</f>
        <v/>
      </c>
      <c r="BQ26" s="154" t="str">
        <f>IF($S26="初級",VLOOKUP($BB26,参照データ!$C$43:$U$56,6,0),IF($S26="中級",VLOOKUP($BB26,参照データ!$C$43:$U$56,7,0),IF($S26="上級",VLOOKUP($BB26,参照データ!$C$43:$U$56,8,0),"")))</f>
        <v/>
      </c>
      <c r="BR26" s="154" t="str">
        <f>IF($T26="初級",VLOOKUP($BB26,参照データ!$C$43:$U$56,9,0),IF($T26="上級",VLOOKUP($BB26,参照データ!$C$43:$U$56,10,0),""))</f>
        <v/>
      </c>
      <c r="BS26" s="154" t="str">
        <f>IF($U26="初級",VLOOKUP($BB26,参照データ!$C$43:$U$56,11,0),IF($U26="中級",VLOOKUP($BB26,参照データ!$C$43:$U$56,12,0),IF($U26="上級",VLOOKUP($BB26,参照データ!$C$43:$U$56,13,0),"")))</f>
        <v/>
      </c>
      <c r="BT26" s="154" t="str">
        <f>IF($V26="初級",VLOOKUP($BB26,参照データ!$C$43:$U$56,14,0),IF($V26="中級",VLOOKUP($BB26,参照データ!$C$43:$U$56,15,0),IF($V26="上級",VLOOKUP($BB26,参照データ!$C$43:$U$56,16,0),"")))</f>
        <v/>
      </c>
      <c r="BU26" s="47" t="str">
        <f t="shared" si="4"/>
        <v/>
      </c>
      <c r="BV26" s="47" t="str">
        <f>IF($W26="初級",VLOOKUP($BB26,参照データ!$C$43:$U$56,17,0),IF($W26="中級",VLOOKUP($BB26,参照データ!$C$43:$U$56,18,0),IF($W26="上級",VLOOKUP($BB26,参照データ!$C$43:$U$56,19,0),"")))</f>
        <v/>
      </c>
      <c r="BW26" s="686">
        <v>8</v>
      </c>
      <c r="BX26" s="66" t="s">
        <v>99</v>
      </c>
      <c r="BY26" s="136" t="str">
        <f t="shared" si="11"/>
        <v/>
      </c>
      <c r="BZ26" s="688" t="str">
        <f t="shared" ref="BZ26" si="58">IF(OR($BY26="",$BY27=""),"",IF($BY26&gt;$BY27,$BY26,$BY27))</f>
        <v/>
      </c>
      <c r="CB26" s="53" t="str">
        <f>IF(AND($AW26&gt;=参照データ!$C$67,$AW26&lt;=参照データ!$C$65),1,IF(AND($AW26&gt;=参照データ!$C$70,$AW26&lt;=参照データ!$C$68),2,IF(AND($AW26&gt;=参照データ!$C$73,$AW26&lt;=参照データ!$C$71),3,IF(AND($AW26&gt;=参照データ!$C$76,$AW26&lt;=参照データ!$C$74),4,IF(AND($AW26&gt;=参照データ!$C$79,$AW26&lt;=参照データ!$C$77),5,IF(AND($AW26&gt;0,$AW26&lt;=参照データ!$C$80),6,""))))))</f>
        <v/>
      </c>
      <c r="CC26" s="141" t="str">
        <f>IF($Z26="○",(VLOOKUP($CB26,参照データ!$D$65:$J$82,2,0)),"")</f>
        <v/>
      </c>
      <c r="CD26" s="71" t="str">
        <f t="shared" si="12"/>
        <v/>
      </c>
      <c r="CE26" s="70" t="str">
        <f>IF($AB26="○",(VLOOKUP($CB26,参照データ!$D$65:$J$82,3,0)),"")</f>
        <v/>
      </c>
      <c r="CF26" s="71" t="str">
        <f t="shared" si="13"/>
        <v/>
      </c>
      <c r="CG26" s="70" t="str">
        <f>IF($AD26="○",(VLOOKUP($CB26,参照データ!$D$65:$J$82,4,0)),"")</f>
        <v/>
      </c>
      <c r="CH26" s="71" t="str">
        <f t="shared" si="14"/>
        <v/>
      </c>
      <c r="CI26" s="70" t="str">
        <f>IF($AF26="○",(VLOOKUP($CB26,参照データ!$D$65:$J$82,5,0)),"")</f>
        <v/>
      </c>
      <c r="CJ26" s="71" t="str">
        <f t="shared" si="5"/>
        <v/>
      </c>
      <c r="CK26" s="70" t="str">
        <f>IF($AH26="○",(VLOOKUP($CB26,参照データ!$D$65:$J$82,6,0)),"")</f>
        <v/>
      </c>
      <c r="CL26" s="71" t="str">
        <f t="shared" si="15"/>
        <v/>
      </c>
      <c r="CM26" s="33" t="str">
        <f t="shared" si="16"/>
        <v/>
      </c>
      <c r="CN26" s="32" t="str">
        <f t="shared" si="17"/>
        <v/>
      </c>
      <c r="CO26" s="71" t="str">
        <f t="shared" si="18"/>
        <v/>
      </c>
      <c r="CP26" s="681">
        <v>8</v>
      </c>
      <c r="CQ26" s="79" t="s">
        <v>99</v>
      </c>
      <c r="CR26" s="80" t="str">
        <f t="shared" si="19"/>
        <v/>
      </c>
      <c r="CS26" s="683" t="e">
        <f>IF($CR26&gt;$CR27,VLOOKUP($CR26,参照データ!$D$65:$J$82,7,0),VLOOKUP($CR27,参照データ!$D$65:$J$82,7,0))</f>
        <v>#N/A</v>
      </c>
      <c r="CT26" s="308" t="str">
        <f>IFERROR(VLOOKUP($CS26,参照データ!$J$65:$M$82,4,0),"")</f>
        <v/>
      </c>
      <c r="CU26" s="70"/>
      <c r="CV26" s="172" t="str">
        <f t="shared" si="20"/>
        <v/>
      </c>
      <c r="CX26" s="32"/>
      <c r="CY26" s="161" t="str">
        <f t="shared" si="21"/>
        <v/>
      </c>
      <c r="CZ26" s="743">
        <v>8</v>
      </c>
      <c r="DA26" s="166" t="s">
        <v>99</v>
      </c>
      <c r="DB26" s="167" t="str">
        <f t="shared" si="42"/>
        <v/>
      </c>
      <c r="DC26" s="741" t="str">
        <f>IF(OR(DB26="",DB27=""),"",IF(DB26&gt;DB27,DB26,DB27))</f>
        <v/>
      </c>
      <c r="DD26" t="str">
        <f>IF($DE26="","",DATEDIF($AW26,参照データ!$D$19,"Y"))</f>
        <v/>
      </c>
      <c r="DE26" s="253" t="str">
        <f>IFERROR(IF($AX26="男子",VLOOKUP($DL26,参照データ!$D$88:$E$117,2,0),$DL26),0)</f>
        <v/>
      </c>
      <c r="DF26" s="84" t="str">
        <f>IF($Z26="選手権",(VLOOKUP($DE26,参照データ!$D$88:$K$117,3,0)),"")</f>
        <v/>
      </c>
      <c r="DG26" s="85" t="str">
        <f t="shared" si="6"/>
        <v/>
      </c>
      <c r="DH26" s="84" t="str">
        <f>IF($AB26="選手権",(VLOOKUP($DE26,参照データ!$D$88:$K$117,4,0)),"")</f>
        <v/>
      </c>
      <c r="DI26" s="85" t="str">
        <f t="shared" si="7"/>
        <v/>
      </c>
      <c r="DJ26" s="84" t="str">
        <f>IF($AD26="選手権",(VLOOKUP($DE26,参照データ!$D$88:$K$117,5,0)),"")</f>
        <v/>
      </c>
      <c r="DK26" s="85" t="str">
        <f t="shared" si="8"/>
        <v/>
      </c>
      <c r="DL26" s="53" t="str">
        <f>IF(AND($AW26&gt;=参照データ!$C$90,$AW26&lt;=参照データ!$C$88),1,IF(AND($AW26&gt;=参照データ!$C$93,$AW26&lt;=参照データ!$C$91),2,IF(AND($AW26&gt;=参照データ!$C$99,$AW26&lt;=参照データ!$C$97),3,IF(AND($AW26&gt;=参照データ!$C$105,$AW26&lt;=参照データ!$C$103),4,IF(AND($AW26&gt;=参照データ!$C$111,$AW26&lt;=参照データ!$C$109),5,IF(AND($AW26&gt;0,$AW26&lt;=参照データ!$C$112),6,""))))))</f>
        <v/>
      </c>
      <c r="DM26" s="84" t="str">
        <f>IF($AF26="選手権",(VLOOKUP($DL26,参照データ!$D$88:$K$117,6,0)),"")</f>
        <v/>
      </c>
      <c r="DN26" s="85" t="str">
        <f t="shared" si="9"/>
        <v/>
      </c>
      <c r="DO26" s="84" t="str">
        <f>IF($AH26="選手権",(VLOOKUP($DL26,参照データ!$D$88:$K$117,7,0)),"")</f>
        <v/>
      </c>
      <c r="DP26" s="85" t="str">
        <f t="shared" si="22"/>
        <v/>
      </c>
      <c r="DQ26" s="33" t="str">
        <f t="shared" si="23"/>
        <v/>
      </c>
      <c r="DR26" s="32" t="str">
        <f t="shared" si="24"/>
        <v/>
      </c>
      <c r="DS26" s="85" t="str">
        <f t="shared" si="25"/>
        <v/>
      </c>
      <c r="DT26" s="736">
        <v>8</v>
      </c>
      <c r="DU26" s="93" t="s">
        <v>99</v>
      </c>
      <c r="DV26" s="94" t="str">
        <f t="shared" si="35"/>
        <v/>
      </c>
      <c r="DW26" s="737" t="e">
        <f>IF($DV26&gt;$DV27,VLOOKUP($DV26,参照データ!$D$88:$K$117,8,0),VLOOKUP($DV27,参照データ!$D$88:$K$117,8,0))</f>
        <v>#N/A</v>
      </c>
      <c r="DX26" s="312" t="str">
        <f>IFERROR(VLOOKUP($DW26,参照データ!$K$88:$O$117,5,0),"")</f>
        <v/>
      </c>
      <c r="DZ26" s="491" t="str">
        <f t="shared" si="26"/>
        <v/>
      </c>
      <c r="EE26" s="35">
        <f>(COUNTIF($J26:$O26,"&lt;&gt;"))*参照データ!$E$3</f>
        <v>0</v>
      </c>
      <c r="EF26" s="219" t="str">
        <f>IF($Y26="○",参照データ!$E$4,"")</f>
        <v/>
      </c>
      <c r="EG26" s="18">
        <f>(SUM(COUNTIF($R26:$V26,{"入門","初級"}))*参照データ!$E$9)+(SUM(COUNTIF($R26:$V26,{"中級","上級"})*参照データ!$E$10))</f>
        <v>0</v>
      </c>
      <c r="EH26" s="18">
        <f>IFERROR(VLOOKUP($W26,参照データ!$D$9:$J$11,7,0),0)</f>
        <v>0</v>
      </c>
      <c r="EI26" s="18">
        <f>((COUNTIF($Z26:$AH26,"○"))*参照データ!$E$12)</f>
        <v>0</v>
      </c>
      <c r="EJ26" s="18" t="str">
        <f>(IF($AJ26="○",参照データ!$J$12,""))</f>
        <v/>
      </c>
      <c r="EM26" s="18">
        <f>((COUNTIF($Z26:$AH26,"選手権"))*参照データ!$E$13)</f>
        <v>0</v>
      </c>
      <c r="EN26" s="18" t="str">
        <f>(IF($AJ26="選手権",参照データ!$J$13,""))</f>
        <v/>
      </c>
      <c r="EO26" s="18">
        <f>(COUNTIF($AQ26:$AR26,"&lt;&gt;"))*参照データ!$H$3</f>
        <v>0</v>
      </c>
      <c r="EP26" s="18"/>
      <c r="EQ26" s="98">
        <f t="array" ref="EQ26">SUM(IF(ISERROR(EE26:EN26),0,(EE26:EN26)))</f>
        <v>0</v>
      </c>
      <c r="ER26" s="18"/>
      <c r="ES26" s="18">
        <f t="shared" si="10"/>
        <v>0</v>
      </c>
      <c r="ET26" s="18">
        <f t="shared" si="36"/>
        <v>0</v>
      </c>
      <c r="EU26" s="18">
        <f t="shared" si="27"/>
        <v>0</v>
      </c>
      <c r="EV26" s="18">
        <f t="shared" si="28"/>
        <v>0</v>
      </c>
      <c r="EW26" s="18">
        <f t="shared" si="29"/>
        <v>0</v>
      </c>
      <c r="EX26" s="18">
        <f t="shared" si="30"/>
        <v>0</v>
      </c>
      <c r="EY26" t="str">
        <f t="shared" si="31"/>
        <v/>
      </c>
    </row>
    <row r="27" spans="1:155" ht="18.75" customHeight="1" x14ac:dyDescent="0.2">
      <c r="A27">
        <v>16</v>
      </c>
      <c r="B27" s="14" t="str">
        <f>IF(D27="","",IF(D27="重複","",COUNTIF(B$12:$B26,"&gt;0")+1))</f>
        <v/>
      </c>
      <c r="C27" s="464"/>
      <c r="D27" s="177"/>
      <c r="E27" s="177"/>
      <c r="F27" s="31"/>
      <c r="G27" s="41"/>
      <c r="H27" s="351">
        <f t="shared" si="32"/>
        <v>0</v>
      </c>
      <c r="I27" s="193" t="str">
        <f>IF($AW27=0,"",DATEDIF($AW27,参照データ!$D$16,"Y"))</f>
        <v/>
      </c>
      <c r="J27" s="517"/>
      <c r="K27" s="517"/>
      <c r="L27" s="517"/>
      <c r="M27" s="517"/>
      <c r="N27" s="517"/>
      <c r="O27" s="518"/>
      <c r="P27" s="345"/>
      <c r="Q27" s="345"/>
      <c r="R27" s="519"/>
      <c r="S27" s="244"/>
      <c r="T27" s="244"/>
      <c r="U27" s="244"/>
      <c r="V27" s="245"/>
      <c r="W27" s="247"/>
      <c r="X27" s="250"/>
      <c r="Y27" s="345"/>
      <c r="Z27" s="388"/>
      <c r="AA27" s="346" t="str">
        <f>IF($Z27="○",VLOOKUP($CB27,参照データ!$D$65:$M$82,9,0),IF($Z27="選手権",VLOOKUP($DE27,参照データ!$D$88:$O$117,10,0),""))</f>
        <v/>
      </c>
      <c r="AB27" s="388"/>
      <c r="AC27" s="346" t="str">
        <f>IF($AB27="○",VLOOKUP($CB27,参照データ!$D$65:$M$82,10,0),IF($AB27="選手権",VLOOKUP($DE27,参照データ!$D$88:$O$117,11,0),""))</f>
        <v/>
      </c>
      <c r="AD27" s="388"/>
      <c r="AE27" s="346" t="str">
        <f>IF($AD27="○",VLOOKUP($CB27,参照データ!$D$65:$M$82,10,0),IF($AD27="選手権",VLOOKUP($DE27,参照データ!$D$88:$O$117,11,0),""))</f>
        <v/>
      </c>
      <c r="AF27" s="388"/>
      <c r="AG27" s="346" t="str">
        <f>IF($AF27="○",VLOOKUP($CB27,参照データ!$D$65:$M$82,10,0),IF($AF27="選手権",VLOOKUP($DL27,参照データ!$D$88:$O$117,12,0),""))</f>
        <v/>
      </c>
      <c r="AH27" s="388"/>
      <c r="AI27" s="346" t="str">
        <f>IF($AH27="○",VLOOKUP($CB27,参照データ!$D$65:$M$82,10,0),IF($AH27="選手権",VLOOKUP($DL27,参照データ!$D$88:$O$117,12,0),""))</f>
        <v/>
      </c>
      <c r="AJ27" s="388"/>
      <c r="AK27" s="511"/>
      <c r="AL27" s="346" t="str">
        <f t="shared" si="3"/>
        <v/>
      </c>
      <c r="AM27" s="392"/>
      <c r="AN27" s="391"/>
      <c r="AO27" s="391"/>
      <c r="AP27" s="447"/>
      <c r="AQ27" s="321"/>
      <c r="AR27" s="481"/>
      <c r="AS27" s="393"/>
      <c r="AT27" s="483"/>
      <c r="AW27">
        <f t="shared" si="45"/>
        <v>0</v>
      </c>
      <c r="AX27" t="str">
        <f t="shared" si="33"/>
        <v/>
      </c>
      <c r="AY27" s="132"/>
      <c r="BA27" s="513" t="str">
        <f>IF(団体情報・入力の仕方!$C$3&lt;&gt;"大田区大会","",IF(AW27=0,"",IF(I27&gt;=18,"○","")))</f>
        <v/>
      </c>
      <c r="BB27" s="53" t="str">
        <f>IF($AW27=0,"",IF(AND($I27&gt;=6,$I27&lt;=19),VLOOKUP($I27,参照データ!$B$24:$C$37,2,0),IF($I27&lt;6,6,19)))</f>
        <v/>
      </c>
      <c r="BC27" s="155" t="str">
        <f>IF($J27="○",VLOOKUP($BB27,参照データ!$C$24:$I$37,2,0),"")</f>
        <v/>
      </c>
      <c r="BD27" s="146" t="str">
        <f>IF($K27="○",VLOOKUP($BB27,参照データ!$C$24:$I$37,3,0),"")</f>
        <v/>
      </c>
      <c r="BE27" s="146" t="str">
        <f>IF($L27="○",VLOOKUP($BB27,参照データ!$C$24:$I$37,4,0),"")</f>
        <v/>
      </c>
      <c r="BF27" s="146" t="str">
        <f>IF($M27="○",VLOOKUP($BB27,参照データ!$C$24:$I$37,5,0),"")</f>
        <v/>
      </c>
      <c r="BG27" s="146" t="str">
        <f>IF($N27="20日",VLOOKUP($BB27,参照データ!$C$24:$I$37,6,0),"")</f>
        <v/>
      </c>
      <c r="BH27" s="156" t="str">
        <f>IF($O27="20日",VLOOKUP($BB27,参照データ!$C$24:$I$37,7,0),"")</f>
        <v/>
      </c>
      <c r="BI27" s="155" t="str">
        <f>IF($J27="21日",VLOOKUP($BB27,参照データ!$C$24:$I$37,2,0),"")</f>
        <v/>
      </c>
      <c r="BJ27" s="146" t="str">
        <f>IF($K27="21日",VLOOKUP($BB27,参照データ!$C$24:$I$37,3,0),"")</f>
        <v/>
      </c>
      <c r="BK27" s="146" t="str">
        <f>IF($L27="21日",VLOOKUP($BB27,参照データ!$C$24:$I$37,4,0),"")</f>
        <v/>
      </c>
      <c r="BL27" s="146" t="str">
        <f>IF($M27="21日",VLOOKUP($BB27,参照データ!$C$24:$I$37,5,0),"")</f>
        <v/>
      </c>
      <c r="BM27" s="146" t="str">
        <f>IF($N27="21日",VLOOKUP($BB27,参照データ!$C$24:$I$37,6,0),"")</f>
        <v/>
      </c>
      <c r="BN27" s="156" t="str">
        <f>IF($O27="21日",VLOOKUP($BB27,参照データ!$C$24:$I$37,7,0),"")</f>
        <v/>
      </c>
      <c r="BO27" s="223" t="str">
        <f t="shared" si="40"/>
        <v/>
      </c>
      <c r="BP27" s="154" t="str">
        <f>IF($R27="入門",VLOOKUP($BB27,参照データ!$C$43:$U$56,2,0),IF($R27="初級",VLOOKUP($BB27,参照データ!$C$43:$U$56,3,0),IF($R27="中級",VLOOKUP($BB27,参照データ!$C$43:$U$56,4,0),IF($R27="上級",VLOOKUP($BB27,参照データ!$C$43:$U$56,5,0),""))))</f>
        <v/>
      </c>
      <c r="BQ27" s="154" t="str">
        <f>IF($S27="初級",VLOOKUP($BB27,参照データ!$C$43:$U$56,6,0),IF($S27="中級",VLOOKUP($BB27,参照データ!$C$43:$U$56,7,0),IF($S27="上級",VLOOKUP($BB27,参照データ!$C$43:$U$56,8,0),"")))</f>
        <v/>
      </c>
      <c r="BR27" s="154" t="str">
        <f>IF($T27="初級",VLOOKUP($BB27,参照データ!$C$43:$U$56,9,0),IF($T27="上級",VLOOKUP($BB27,参照データ!$C$43:$U$56,10,0),""))</f>
        <v/>
      </c>
      <c r="BS27" s="154" t="str">
        <f>IF($U27="初級",VLOOKUP($BB27,参照データ!$C$43:$U$56,11,0),IF($U27="中級",VLOOKUP($BB27,参照データ!$C$43:$U$56,12,0),IF($U27="上級",VLOOKUP($BB27,参照データ!$C$43:$U$56,13,0),"")))</f>
        <v/>
      </c>
      <c r="BT27" s="154" t="str">
        <f>IF($V27="初級",VLOOKUP($BB27,参照データ!$C$43:$U$56,14,0),IF($V27="中級",VLOOKUP($BB27,参照データ!$C$43:$U$56,15,0),IF($V27="上級",VLOOKUP($BB27,参照データ!$C$43:$U$56,16,0),"")))</f>
        <v/>
      </c>
      <c r="BU27" s="47" t="str">
        <f t="shared" si="4"/>
        <v/>
      </c>
      <c r="BV27" s="47" t="str">
        <f>IF($W27="初級",VLOOKUP($BB27,参照データ!$C$43:$U$56,17,0),IF($W27="中級",VLOOKUP($BB27,参照データ!$C$43:$U$56,18,0),IF($W27="上級",VLOOKUP($BB27,参照データ!$C$43:$U$56,19,0),"")))</f>
        <v/>
      </c>
      <c r="BW27" s="687"/>
      <c r="BX27" s="65" t="s">
        <v>100</v>
      </c>
      <c r="BY27" s="135" t="str">
        <f t="shared" si="11"/>
        <v/>
      </c>
      <c r="BZ27" s="689"/>
      <c r="CB27" s="53" t="str">
        <f>IF(AND($AW27&gt;=参照データ!$C$67,$AW27&lt;=参照データ!$C$65),1,IF(AND($AW27&gt;=参照データ!$C$70,$AW27&lt;=参照データ!$C$68),2,IF(AND($AW27&gt;=参照データ!$C$73,$AW27&lt;=参照データ!$C$71),3,IF(AND($AW27&gt;=参照データ!$C$76,$AW27&lt;=参照データ!$C$74),4,IF(AND($AW27&gt;=参照データ!$C$79,$AW27&lt;=参照データ!$C$77),5,IF(AND($AW27&gt;0,$AW27&lt;=参照データ!$C$80),6,""))))))</f>
        <v/>
      </c>
      <c r="CC27" s="141" t="str">
        <f>IF($Z27="○",(VLOOKUP($CB27,参照データ!$D$65:$J$82,2,0)),"")</f>
        <v/>
      </c>
      <c r="CD27" s="71" t="str">
        <f t="shared" si="12"/>
        <v/>
      </c>
      <c r="CE27" s="70" t="str">
        <f>IF($AB27="○",(VLOOKUP($CB27,参照データ!$D$65:$J$82,3,0)),"")</f>
        <v/>
      </c>
      <c r="CF27" s="71" t="str">
        <f t="shared" si="13"/>
        <v/>
      </c>
      <c r="CG27" s="70" t="str">
        <f>IF($AD27="○",(VLOOKUP($CB27,参照データ!$D$65:$J$82,4,0)),"")</f>
        <v/>
      </c>
      <c r="CH27" s="71" t="str">
        <f t="shared" si="14"/>
        <v/>
      </c>
      <c r="CI27" s="70" t="str">
        <f>IF($AF27="○",(VLOOKUP($CB27,参照データ!$D$65:$J$82,5,0)),"")</f>
        <v/>
      </c>
      <c r="CJ27" s="71" t="str">
        <f t="shared" si="5"/>
        <v/>
      </c>
      <c r="CK27" s="70" t="str">
        <f>IF($AH27="○",(VLOOKUP($CB27,参照データ!$D$65:$J$82,6,0)),"")</f>
        <v/>
      </c>
      <c r="CL27" s="71" t="str">
        <f t="shared" si="15"/>
        <v/>
      </c>
      <c r="CM27" s="33" t="str">
        <f t="shared" si="16"/>
        <v/>
      </c>
      <c r="CN27" s="32" t="str">
        <f t="shared" si="17"/>
        <v/>
      </c>
      <c r="CO27" s="71" t="str">
        <f t="shared" si="18"/>
        <v/>
      </c>
      <c r="CP27" s="682"/>
      <c r="CQ27" s="77" t="s">
        <v>100</v>
      </c>
      <c r="CR27" s="78" t="str">
        <f t="shared" si="19"/>
        <v/>
      </c>
      <c r="CS27" s="684"/>
      <c r="CT27" s="308" t="str">
        <f t="shared" ref="CT27" si="59">$CT26</f>
        <v/>
      </c>
      <c r="CU27" s="70"/>
      <c r="CV27" s="172" t="str">
        <f t="shared" si="20"/>
        <v/>
      </c>
      <c r="CX27" s="32"/>
      <c r="CY27" s="161" t="str">
        <f t="shared" si="21"/>
        <v/>
      </c>
      <c r="CZ27" s="744"/>
      <c r="DA27" s="164" t="s">
        <v>100</v>
      </c>
      <c r="DB27" s="165" t="str">
        <f t="shared" si="42"/>
        <v/>
      </c>
      <c r="DC27" s="742"/>
      <c r="DD27" t="str">
        <f>IF($DE27="","",DATEDIF($AW27,参照データ!$D$19,"Y"))</f>
        <v/>
      </c>
      <c r="DE27" s="253" t="str">
        <f>IFERROR(IF($AX27="男子",VLOOKUP($DL27,参照データ!$D$88:$E$117,2,0),$DL27),0)</f>
        <v/>
      </c>
      <c r="DF27" s="84" t="str">
        <f>IF($Z27="選手権",(VLOOKUP($DE27,参照データ!$D$88:$K$117,3,0)),"")</f>
        <v/>
      </c>
      <c r="DG27" s="85" t="str">
        <f t="shared" si="6"/>
        <v/>
      </c>
      <c r="DH27" s="84" t="str">
        <f>IF($AB27="選手権",(VLOOKUP($DE27,参照データ!$D$88:$K$117,4,0)),"")</f>
        <v/>
      </c>
      <c r="DI27" s="85" t="str">
        <f t="shared" si="7"/>
        <v/>
      </c>
      <c r="DJ27" s="84" t="str">
        <f>IF($AD27="選手権",(VLOOKUP($DE27,参照データ!$D$88:$K$117,5,0)),"")</f>
        <v/>
      </c>
      <c r="DK27" s="85" t="str">
        <f t="shared" si="8"/>
        <v/>
      </c>
      <c r="DL27" s="53" t="str">
        <f>IF(AND($AW27&gt;=参照データ!$C$90,$AW27&lt;=参照データ!$C$88),1,IF(AND($AW27&gt;=参照データ!$C$93,$AW27&lt;=参照データ!$C$91),2,IF(AND($AW27&gt;=参照データ!$C$99,$AW27&lt;=参照データ!$C$97),3,IF(AND($AW27&gt;=参照データ!$C$105,$AW27&lt;=参照データ!$C$103),4,IF(AND($AW27&gt;=参照データ!$C$111,$AW27&lt;=参照データ!$C$109),5,IF(AND($AW27&gt;0,$AW27&lt;=参照データ!$C$112),6,""))))))</f>
        <v/>
      </c>
      <c r="DM27" s="84" t="str">
        <f>IF($AF27="選手権",(VLOOKUP($DL27,参照データ!$D$88:$K$117,6,0)),"")</f>
        <v/>
      </c>
      <c r="DN27" s="85" t="str">
        <f t="shared" si="9"/>
        <v/>
      </c>
      <c r="DO27" s="84" t="str">
        <f>IF($AH27="選手権",(VLOOKUP($DL27,参照データ!$D$88:$K$117,7,0)),"")</f>
        <v/>
      </c>
      <c r="DP27" s="85" t="str">
        <f t="shared" si="22"/>
        <v/>
      </c>
      <c r="DQ27" s="33" t="str">
        <f t="shared" si="23"/>
        <v/>
      </c>
      <c r="DR27" s="32" t="str">
        <f t="shared" si="24"/>
        <v/>
      </c>
      <c r="DS27" s="85" t="str">
        <f t="shared" si="25"/>
        <v/>
      </c>
      <c r="DT27" s="733"/>
      <c r="DU27" s="91" t="s">
        <v>100</v>
      </c>
      <c r="DV27" s="92" t="str">
        <f t="shared" si="35"/>
        <v/>
      </c>
      <c r="DW27" s="735"/>
      <c r="DX27" s="312" t="str">
        <f t="shared" ref="DX27" si="60">$DX26</f>
        <v/>
      </c>
      <c r="DZ27" s="491" t="str">
        <f t="shared" si="26"/>
        <v/>
      </c>
      <c r="EE27" s="35">
        <f>(COUNTIF($J27:$O27,"&lt;&gt;"))*参照データ!$E$3</f>
        <v>0</v>
      </c>
      <c r="EF27" s="219" t="str">
        <f>IF($Y27="○",参照データ!$E$4,"")</f>
        <v/>
      </c>
      <c r="EG27" s="18">
        <f>(SUM(COUNTIF($R27:$V27,{"入門","初級"}))*参照データ!$E$9)+(SUM(COUNTIF($R27:$V27,{"中級","上級"})*参照データ!$E$10))</f>
        <v>0</v>
      </c>
      <c r="EH27" s="18">
        <f>IFERROR(VLOOKUP($W27,参照データ!$D$9:$J$11,7,0),0)</f>
        <v>0</v>
      </c>
      <c r="EI27" s="18">
        <f>((COUNTIF($Z27:$AH27,"○"))*参照データ!$E$12)</f>
        <v>0</v>
      </c>
      <c r="EJ27" s="18" t="str">
        <f>(IF($AJ27="○",参照データ!$J$12,""))</f>
        <v/>
      </c>
      <c r="EM27" s="18">
        <f>((COUNTIF($Z27:$AH27,"選手権"))*参照データ!$E$13)</f>
        <v>0</v>
      </c>
      <c r="EN27" s="18" t="str">
        <f>(IF($AJ27="選手権",参照データ!$J$13,""))</f>
        <v/>
      </c>
      <c r="EO27" s="18">
        <f>(COUNTIF($AQ27:$AR27,"&lt;&gt;"))*参照データ!$H$3</f>
        <v>0</v>
      </c>
      <c r="EP27" s="18"/>
      <c r="EQ27" s="98">
        <f t="array" ref="EQ27">SUM(IF(ISERROR(EE27:EN27),0,(EE27:EN27)))</f>
        <v>0</v>
      </c>
      <c r="ER27" s="18"/>
      <c r="ES27" s="18">
        <f t="shared" si="10"/>
        <v>0</v>
      </c>
      <c r="ET27" s="18">
        <f t="shared" si="36"/>
        <v>0</v>
      </c>
      <c r="EU27" s="18">
        <f t="shared" si="27"/>
        <v>0</v>
      </c>
      <c r="EV27" s="18">
        <f t="shared" si="28"/>
        <v>0</v>
      </c>
      <c r="EW27" s="18">
        <f t="shared" si="29"/>
        <v>0</v>
      </c>
      <c r="EX27" s="18">
        <f t="shared" si="30"/>
        <v>0</v>
      </c>
      <c r="EY27" t="str">
        <f t="shared" si="31"/>
        <v/>
      </c>
    </row>
    <row r="28" spans="1:155" ht="18.75" customHeight="1" x14ac:dyDescent="0.2">
      <c r="A28">
        <v>17</v>
      </c>
      <c r="B28" s="14" t="str">
        <f>IF(D28="","",IF(D28="重複","",COUNTIF(B$12:$B27,"&gt;0")+1))</f>
        <v/>
      </c>
      <c r="C28" s="464"/>
      <c r="D28" s="177"/>
      <c r="E28" s="177"/>
      <c r="F28" s="31"/>
      <c r="G28" s="41"/>
      <c r="H28" s="351">
        <f t="shared" si="32"/>
        <v>0</v>
      </c>
      <c r="I28" s="193" t="str">
        <f>IF($AW28=0,"",DATEDIF($AW28,参照データ!$D$16,"Y"))</f>
        <v/>
      </c>
      <c r="J28" s="517"/>
      <c r="K28" s="517"/>
      <c r="L28" s="517"/>
      <c r="M28" s="517"/>
      <c r="N28" s="517"/>
      <c r="O28" s="518"/>
      <c r="P28" s="345"/>
      <c r="Q28" s="345"/>
      <c r="R28" s="519"/>
      <c r="S28" s="244"/>
      <c r="T28" s="244"/>
      <c r="U28" s="244"/>
      <c r="V28" s="245"/>
      <c r="W28" s="247"/>
      <c r="X28" s="250"/>
      <c r="Y28" s="345"/>
      <c r="Z28" s="388"/>
      <c r="AA28" s="346" t="str">
        <f>IF($Z28="○",VLOOKUP($CB28,参照データ!$D$65:$M$82,9,0),IF($Z28="選手権",VLOOKUP($DE28,参照データ!$D$88:$O$117,10,0),""))</f>
        <v/>
      </c>
      <c r="AB28" s="388"/>
      <c r="AC28" s="346" t="str">
        <f>IF($AB28="○",VLOOKUP($CB28,参照データ!$D$65:$M$82,10,0),IF($AB28="選手権",VLOOKUP($DE28,参照データ!$D$88:$O$117,11,0),""))</f>
        <v/>
      </c>
      <c r="AD28" s="388"/>
      <c r="AE28" s="346" t="str">
        <f>IF($AD28="○",VLOOKUP($CB28,参照データ!$D$65:$M$82,10,0),IF($AD28="選手権",VLOOKUP($DE28,参照データ!$D$88:$O$117,11,0),""))</f>
        <v/>
      </c>
      <c r="AF28" s="388"/>
      <c r="AG28" s="346" t="str">
        <f>IF($AF28="○",VLOOKUP($CB28,参照データ!$D$65:$M$82,10,0),IF($AF28="選手権",VLOOKUP($DL28,参照データ!$D$88:$O$117,12,0),""))</f>
        <v/>
      </c>
      <c r="AH28" s="388"/>
      <c r="AI28" s="346" t="str">
        <f>IF($AH28="○",VLOOKUP($CB28,参照データ!$D$65:$M$82,10,0),IF($AH28="選手権",VLOOKUP($DL28,参照データ!$D$88:$O$117,12,0),""))</f>
        <v/>
      </c>
      <c r="AJ28" s="388"/>
      <c r="AK28" s="511"/>
      <c r="AL28" s="346" t="str">
        <f t="shared" si="3"/>
        <v/>
      </c>
      <c r="AM28" s="392"/>
      <c r="AN28" s="391"/>
      <c r="AO28" s="391"/>
      <c r="AP28" s="447"/>
      <c r="AQ28" s="321"/>
      <c r="AR28" s="481"/>
      <c r="AS28" s="393"/>
      <c r="AT28" s="483"/>
      <c r="AW28">
        <f t="shared" si="45"/>
        <v>0</v>
      </c>
      <c r="AX28" t="str">
        <f t="shared" si="33"/>
        <v/>
      </c>
      <c r="AY28" s="132"/>
      <c r="BA28" s="513" t="str">
        <f>IF(団体情報・入力の仕方!$C$3&lt;&gt;"大田区大会","",IF(AW28=0,"",IF(I28&gt;=18,"○","")))</f>
        <v/>
      </c>
      <c r="BB28" s="53" t="str">
        <f>IF($AW28=0,"",IF(AND($I28&gt;=6,$I28&lt;=19),VLOOKUP($I28,参照データ!$B$24:$C$37,2,0),IF($I28&lt;6,6,19)))</f>
        <v/>
      </c>
      <c r="BC28" s="155" t="str">
        <f>IF($J28="○",VLOOKUP($BB28,参照データ!$C$24:$I$37,2,0),"")</f>
        <v/>
      </c>
      <c r="BD28" s="146" t="str">
        <f>IF($K28="○",VLOOKUP($BB28,参照データ!$C$24:$I$37,3,0),"")</f>
        <v/>
      </c>
      <c r="BE28" s="146" t="str">
        <f>IF($L28="○",VLOOKUP($BB28,参照データ!$C$24:$I$37,4,0),"")</f>
        <v/>
      </c>
      <c r="BF28" s="146" t="str">
        <f>IF($M28="○",VLOOKUP($BB28,参照データ!$C$24:$I$37,5,0),"")</f>
        <v/>
      </c>
      <c r="BG28" s="146" t="str">
        <f>IF($N28="20日",VLOOKUP($BB28,参照データ!$C$24:$I$37,6,0),"")</f>
        <v/>
      </c>
      <c r="BH28" s="156" t="str">
        <f>IF($O28="20日",VLOOKUP($BB28,参照データ!$C$24:$I$37,7,0),"")</f>
        <v/>
      </c>
      <c r="BI28" s="155" t="str">
        <f>IF($J28="21日",VLOOKUP($BB28,参照データ!$C$24:$I$37,2,0),"")</f>
        <v/>
      </c>
      <c r="BJ28" s="146" t="str">
        <f>IF($K28="21日",VLOOKUP($BB28,参照データ!$C$24:$I$37,3,0),"")</f>
        <v/>
      </c>
      <c r="BK28" s="146" t="str">
        <f>IF($L28="21日",VLOOKUP($BB28,参照データ!$C$24:$I$37,4,0),"")</f>
        <v/>
      </c>
      <c r="BL28" s="146" t="str">
        <f>IF($M28="21日",VLOOKUP($BB28,参照データ!$C$24:$I$37,5,0),"")</f>
        <v/>
      </c>
      <c r="BM28" s="146" t="str">
        <f>IF($N28="21日",VLOOKUP($BB28,参照データ!$C$24:$I$37,6,0),"")</f>
        <v/>
      </c>
      <c r="BN28" s="156" t="str">
        <f>IF($O28="21日",VLOOKUP($BB28,参照データ!$C$24:$I$37,7,0),"")</f>
        <v/>
      </c>
      <c r="BO28" s="223" t="str">
        <f t="shared" si="40"/>
        <v/>
      </c>
      <c r="BP28" s="154" t="str">
        <f>IF($R28="入門",VLOOKUP($BB28,参照データ!$C$43:$U$56,2,0),IF($R28="初級",VLOOKUP($BB28,参照データ!$C$43:$U$56,3,0),IF($R28="中級",VLOOKUP($BB28,参照データ!$C$43:$U$56,4,0),IF($R28="上級",VLOOKUP($BB28,参照データ!$C$43:$U$56,5,0),""))))</f>
        <v/>
      </c>
      <c r="BQ28" s="154" t="str">
        <f>IF($S28="初級",VLOOKUP($BB28,参照データ!$C$43:$U$56,6,0),IF($S28="中級",VLOOKUP($BB28,参照データ!$C$43:$U$56,7,0),IF($S28="上級",VLOOKUP($BB28,参照データ!$C$43:$U$56,8,0),"")))</f>
        <v/>
      </c>
      <c r="BR28" s="154" t="str">
        <f>IF($T28="初級",VLOOKUP($BB28,参照データ!$C$43:$U$56,9,0),IF($T28="上級",VLOOKUP($BB28,参照データ!$C$43:$U$56,10,0),""))</f>
        <v/>
      </c>
      <c r="BS28" s="154" t="str">
        <f>IF($U28="初級",VLOOKUP($BB28,参照データ!$C$43:$U$56,11,0),IF($U28="中級",VLOOKUP($BB28,参照データ!$C$43:$U$56,12,0),IF($U28="上級",VLOOKUP($BB28,参照データ!$C$43:$U$56,13,0),"")))</f>
        <v/>
      </c>
      <c r="BT28" s="154" t="str">
        <f>IF($V28="初級",VLOOKUP($BB28,参照データ!$C$43:$U$56,14,0),IF($V28="中級",VLOOKUP($BB28,参照データ!$C$43:$U$56,15,0),IF($V28="上級",VLOOKUP($BB28,参照データ!$C$43:$U$56,16,0),"")))</f>
        <v/>
      </c>
      <c r="BU28" s="47" t="str">
        <f t="shared" si="4"/>
        <v/>
      </c>
      <c r="BV28" s="47" t="str">
        <f>IF($W28="初級",VLOOKUP($BB28,参照データ!$C$43:$U$56,17,0),IF($W28="中級",VLOOKUP($BB28,参照データ!$C$43:$U$56,18,0),IF($W28="上級",VLOOKUP($BB28,参照データ!$C$43:$U$56,19,0),"")))</f>
        <v/>
      </c>
      <c r="BW28" s="686">
        <v>9</v>
      </c>
      <c r="BX28" s="66" t="s">
        <v>101</v>
      </c>
      <c r="BY28" s="136" t="str">
        <f t="shared" si="11"/>
        <v/>
      </c>
      <c r="BZ28" s="688" t="str">
        <f t="shared" ref="BZ28" si="61">IF(OR($BY28="",$BY29=""),"",IF($BY28&gt;$BY29,$BY28,$BY29))</f>
        <v/>
      </c>
      <c r="CB28" s="53" t="str">
        <f>IF(AND($AW28&gt;=参照データ!$C$67,$AW28&lt;=参照データ!$C$65),1,IF(AND($AW28&gt;=参照データ!$C$70,$AW28&lt;=参照データ!$C$68),2,IF(AND($AW28&gt;=参照データ!$C$73,$AW28&lt;=参照データ!$C$71),3,IF(AND($AW28&gt;=参照データ!$C$76,$AW28&lt;=参照データ!$C$74),4,IF(AND($AW28&gt;=参照データ!$C$79,$AW28&lt;=参照データ!$C$77),5,IF(AND($AW28&gt;0,$AW28&lt;=参照データ!$C$80),6,""))))))</f>
        <v/>
      </c>
      <c r="CC28" s="141" t="str">
        <f>IF($Z28="○",(VLOOKUP($CB28,参照データ!$D$65:$J$82,2,0)),"")</f>
        <v/>
      </c>
      <c r="CD28" s="71" t="str">
        <f t="shared" si="12"/>
        <v/>
      </c>
      <c r="CE28" s="70" t="str">
        <f>IF($AB28="○",(VLOOKUP($CB28,参照データ!$D$65:$J$82,3,0)),"")</f>
        <v/>
      </c>
      <c r="CF28" s="71" t="str">
        <f t="shared" si="13"/>
        <v/>
      </c>
      <c r="CG28" s="70" t="str">
        <f>IF($AD28="○",(VLOOKUP($CB28,参照データ!$D$65:$J$82,4,0)),"")</f>
        <v/>
      </c>
      <c r="CH28" s="71" t="str">
        <f t="shared" si="14"/>
        <v/>
      </c>
      <c r="CI28" s="70" t="str">
        <f>IF($AF28="○",(VLOOKUP($CB28,参照データ!$D$65:$J$82,5,0)),"")</f>
        <v/>
      </c>
      <c r="CJ28" s="71" t="str">
        <f t="shared" si="5"/>
        <v/>
      </c>
      <c r="CK28" s="70" t="str">
        <f>IF($AH28="○",(VLOOKUP($CB28,参照データ!$D$65:$J$82,6,0)),"")</f>
        <v/>
      </c>
      <c r="CL28" s="71" t="str">
        <f t="shared" si="15"/>
        <v/>
      </c>
      <c r="CM28" s="33" t="str">
        <f t="shared" si="16"/>
        <v/>
      </c>
      <c r="CN28" s="32" t="str">
        <f t="shared" si="17"/>
        <v/>
      </c>
      <c r="CO28" s="71" t="str">
        <f t="shared" si="18"/>
        <v/>
      </c>
      <c r="CP28" s="681">
        <v>9</v>
      </c>
      <c r="CQ28" s="79" t="s">
        <v>101</v>
      </c>
      <c r="CR28" s="80" t="str">
        <f t="shared" si="19"/>
        <v/>
      </c>
      <c r="CS28" s="683" t="e">
        <f>IF($CR28&gt;$CR29,VLOOKUP($CR28,参照データ!$D$65:$J$82,7,0),VLOOKUP($CR29,参照データ!$D$65:$J$82,7,0))</f>
        <v>#N/A</v>
      </c>
      <c r="CT28" s="308" t="str">
        <f>IFERROR(VLOOKUP($CS28,参照データ!$J$65:$M$82,4,0),"")</f>
        <v/>
      </c>
      <c r="CU28" s="70"/>
      <c r="CV28" s="172" t="str">
        <f t="shared" si="20"/>
        <v/>
      </c>
      <c r="CX28" s="32"/>
      <c r="CY28" s="161" t="str">
        <f t="shared" si="21"/>
        <v/>
      </c>
      <c r="CZ28" s="743">
        <v>9</v>
      </c>
      <c r="DA28" s="166" t="s">
        <v>101</v>
      </c>
      <c r="DB28" s="167" t="str">
        <f t="shared" si="42"/>
        <v/>
      </c>
      <c r="DC28" s="741" t="str">
        <f>IF(OR(DB28="",DB29=""),"",IF(DB28&gt;DB29,DB28,DB29))</f>
        <v/>
      </c>
      <c r="DD28" t="str">
        <f>IF($DE28="","",DATEDIF($AW28,参照データ!$D$19,"Y"))</f>
        <v/>
      </c>
      <c r="DE28" s="253" t="str">
        <f>IFERROR(IF($AX28="男子",VLOOKUP($DL28,参照データ!$D$88:$E$117,2,0),$DL28),0)</f>
        <v/>
      </c>
      <c r="DF28" s="84" t="str">
        <f>IF($Z28="選手権",(VLOOKUP($DE28,参照データ!$D$88:$K$117,3,0)),"")</f>
        <v/>
      </c>
      <c r="DG28" s="85" t="str">
        <f t="shared" si="6"/>
        <v/>
      </c>
      <c r="DH28" s="84" t="str">
        <f>IF($AB28="選手権",(VLOOKUP($DE28,参照データ!$D$88:$K$117,4,0)),"")</f>
        <v/>
      </c>
      <c r="DI28" s="85" t="str">
        <f t="shared" si="7"/>
        <v/>
      </c>
      <c r="DJ28" s="84" t="str">
        <f>IF($AD28="選手権",(VLOOKUP($DE28,参照データ!$D$88:$K$117,5,0)),"")</f>
        <v/>
      </c>
      <c r="DK28" s="85" t="str">
        <f t="shared" si="8"/>
        <v/>
      </c>
      <c r="DL28" s="53" t="str">
        <f>IF(AND($AW28&gt;=参照データ!$C$90,$AW28&lt;=参照データ!$C$88),1,IF(AND($AW28&gt;=参照データ!$C$93,$AW28&lt;=参照データ!$C$91),2,IF(AND($AW28&gt;=参照データ!$C$99,$AW28&lt;=参照データ!$C$97),3,IF(AND($AW28&gt;=参照データ!$C$105,$AW28&lt;=参照データ!$C$103),4,IF(AND($AW28&gt;=参照データ!$C$111,$AW28&lt;=参照データ!$C$109),5,IF(AND($AW28&gt;0,$AW28&lt;=参照データ!$C$112),6,""))))))</f>
        <v/>
      </c>
      <c r="DM28" s="84" t="str">
        <f>IF($AF28="選手権",(VLOOKUP($DL28,参照データ!$D$88:$K$117,6,0)),"")</f>
        <v/>
      </c>
      <c r="DN28" s="85" t="str">
        <f t="shared" si="9"/>
        <v/>
      </c>
      <c r="DO28" s="84" t="str">
        <f>IF($AH28="選手権",(VLOOKUP($DL28,参照データ!$D$88:$K$117,7,0)),"")</f>
        <v/>
      </c>
      <c r="DP28" s="85" t="str">
        <f t="shared" si="22"/>
        <v/>
      </c>
      <c r="DQ28" s="33" t="str">
        <f t="shared" si="23"/>
        <v/>
      </c>
      <c r="DR28" s="32" t="str">
        <f t="shared" si="24"/>
        <v/>
      </c>
      <c r="DS28" s="85" t="str">
        <f t="shared" si="25"/>
        <v/>
      </c>
      <c r="DT28" s="736">
        <v>9</v>
      </c>
      <c r="DU28" s="93" t="s">
        <v>101</v>
      </c>
      <c r="DV28" s="94" t="str">
        <f t="shared" si="35"/>
        <v/>
      </c>
      <c r="DW28" s="737" t="e">
        <f>IF($DV28&gt;$DV29,VLOOKUP($DV28,参照データ!$D$88:$K$117,8,0),VLOOKUP($DV29,参照データ!$D$88:$K$117,8,0))</f>
        <v>#N/A</v>
      </c>
      <c r="DX28" s="312" t="str">
        <f>IFERROR(VLOOKUP($DW28,参照データ!$K$88:$O$117,5,0),"")</f>
        <v/>
      </c>
      <c r="DZ28" s="491" t="str">
        <f t="shared" si="26"/>
        <v/>
      </c>
      <c r="EE28" s="35">
        <f>(COUNTIF($J28:$O28,"&lt;&gt;"))*参照データ!$E$3</f>
        <v>0</v>
      </c>
      <c r="EF28" s="219" t="str">
        <f>IF($Y28="○",参照データ!$E$4,"")</f>
        <v/>
      </c>
      <c r="EG28" s="18">
        <f>(SUM(COUNTIF($R28:$V28,{"入門","初級"}))*参照データ!$E$9)+(SUM(COUNTIF($R28:$V28,{"中級","上級"})*参照データ!$E$10))</f>
        <v>0</v>
      </c>
      <c r="EH28" s="18">
        <f>IFERROR(VLOOKUP($W28,参照データ!$D$9:$J$11,7,0),0)</f>
        <v>0</v>
      </c>
      <c r="EI28" s="18">
        <f>((COUNTIF($Z28:$AH28,"○"))*参照データ!$E$12)</f>
        <v>0</v>
      </c>
      <c r="EJ28" s="18" t="str">
        <f>(IF($AJ28="○",参照データ!$J$12,""))</f>
        <v/>
      </c>
      <c r="EM28" s="18">
        <f>((COUNTIF($Z28:$AH28,"選手権"))*参照データ!$E$13)</f>
        <v>0</v>
      </c>
      <c r="EN28" s="18" t="str">
        <f>(IF($AJ28="選手権",参照データ!$J$13,""))</f>
        <v/>
      </c>
      <c r="EO28" s="18">
        <f>(COUNTIF($AQ28:$AR28,"&lt;&gt;"))*参照データ!$H$3</f>
        <v>0</v>
      </c>
      <c r="EP28" s="18"/>
      <c r="EQ28" s="98">
        <f t="array" ref="EQ28">SUM(IF(ISERROR(EE28:EN28),0,(EE28:EN28)))</f>
        <v>0</v>
      </c>
      <c r="ER28" s="18"/>
      <c r="ES28" s="18">
        <f t="shared" si="10"/>
        <v>0</v>
      </c>
      <c r="ET28" s="18">
        <f t="shared" si="36"/>
        <v>0</v>
      </c>
      <c r="EU28" s="18">
        <f t="shared" si="27"/>
        <v>0</v>
      </c>
      <c r="EV28" s="18">
        <f t="shared" si="28"/>
        <v>0</v>
      </c>
      <c r="EW28" s="18">
        <f t="shared" si="29"/>
        <v>0</v>
      </c>
      <c r="EX28" s="18">
        <f t="shared" si="30"/>
        <v>0</v>
      </c>
      <c r="EY28" t="str">
        <f t="shared" si="31"/>
        <v/>
      </c>
    </row>
    <row r="29" spans="1:155" ht="18.75" customHeight="1" x14ac:dyDescent="0.2">
      <c r="A29">
        <v>18</v>
      </c>
      <c r="B29" s="14" t="str">
        <f>IF(D29="","",IF(D29="重複","",COUNTIF(B$12:$B28,"&gt;0")+1))</f>
        <v/>
      </c>
      <c r="C29" s="464"/>
      <c r="D29" s="177"/>
      <c r="E29" s="177"/>
      <c r="F29" s="31"/>
      <c r="G29" s="41"/>
      <c r="H29" s="351">
        <f t="shared" si="32"/>
        <v>0</v>
      </c>
      <c r="I29" s="193" t="str">
        <f>IF($AW29=0,"",DATEDIF($AW29,参照データ!$D$16,"Y"))</f>
        <v/>
      </c>
      <c r="J29" s="517"/>
      <c r="K29" s="517"/>
      <c r="L29" s="517"/>
      <c r="M29" s="517"/>
      <c r="N29" s="517"/>
      <c r="O29" s="518"/>
      <c r="P29" s="345"/>
      <c r="Q29" s="345"/>
      <c r="R29" s="519"/>
      <c r="S29" s="244"/>
      <c r="T29" s="244"/>
      <c r="U29" s="244"/>
      <c r="V29" s="245"/>
      <c r="W29" s="247"/>
      <c r="X29" s="250"/>
      <c r="Y29" s="345"/>
      <c r="Z29" s="388"/>
      <c r="AA29" s="346" t="str">
        <f>IF($Z29="○",VLOOKUP($CB29,参照データ!$D$65:$M$82,9,0),IF($Z29="選手権",VLOOKUP($DE29,参照データ!$D$88:$O$117,10,0),""))</f>
        <v/>
      </c>
      <c r="AB29" s="388"/>
      <c r="AC29" s="346" t="str">
        <f>IF($AB29="○",VLOOKUP($CB29,参照データ!$D$65:$M$82,10,0),IF($AB29="選手権",VLOOKUP($DE29,参照データ!$D$88:$O$117,11,0),""))</f>
        <v/>
      </c>
      <c r="AD29" s="388"/>
      <c r="AE29" s="346" t="str">
        <f>IF($AD29="○",VLOOKUP($CB29,参照データ!$D$65:$M$82,10,0),IF($AD29="選手権",VLOOKUP($DE29,参照データ!$D$88:$O$117,11,0),""))</f>
        <v/>
      </c>
      <c r="AF29" s="388"/>
      <c r="AG29" s="346" t="str">
        <f>IF($AF29="○",VLOOKUP($CB29,参照データ!$D$65:$M$82,10,0),IF($AF29="選手権",VLOOKUP($DL29,参照データ!$D$88:$O$117,12,0),""))</f>
        <v/>
      </c>
      <c r="AH29" s="388"/>
      <c r="AI29" s="346" t="str">
        <f>IF($AH29="○",VLOOKUP($CB29,参照データ!$D$65:$M$82,10,0),IF($AH29="選手権",VLOOKUP($DL29,参照データ!$D$88:$O$117,12,0),""))</f>
        <v/>
      </c>
      <c r="AJ29" s="388"/>
      <c r="AK29" s="511"/>
      <c r="AL29" s="346" t="str">
        <f t="shared" si="3"/>
        <v/>
      </c>
      <c r="AM29" s="392"/>
      <c r="AN29" s="391"/>
      <c r="AO29" s="391"/>
      <c r="AP29" s="447"/>
      <c r="AQ29" s="321"/>
      <c r="AR29" s="481"/>
      <c r="AS29" s="393"/>
      <c r="AT29" s="483"/>
      <c r="AW29">
        <f t="shared" si="45"/>
        <v>0</v>
      </c>
      <c r="AX29" t="str">
        <f t="shared" si="33"/>
        <v/>
      </c>
      <c r="AY29" s="132"/>
      <c r="BA29" s="513" t="str">
        <f>IF(団体情報・入力の仕方!$C$3&lt;&gt;"大田区大会","",IF(AW29=0,"",IF(I29&gt;=18,"○","")))</f>
        <v/>
      </c>
      <c r="BB29" s="53" t="str">
        <f>IF($AW29=0,"",IF(AND($I29&gt;=6,$I29&lt;=19),VLOOKUP($I29,参照データ!$B$24:$C$37,2,0),IF($I29&lt;6,6,19)))</f>
        <v/>
      </c>
      <c r="BC29" s="155" t="str">
        <f>IF($J29="○",VLOOKUP($BB29,参照データ!$C$24:$I$37,2,0),"")</f>
        <v/>
      </c>
      <c r="BD29" s="146" t="str">
        <f>IF($K29="○",VLOOKUP($BB29,参照データ!$C$24:$I$37,3,0),"")</f>
        <v/>
      </c>
      <c r="BE29" s="146" t="str">
        <f>IF($L29="○",VLOOKUP($BB29,参照データ!$C$24:$I$37,4,0),"")</f>
        <v/>
      </c>
      <c r="BF29" s="146" t="str">
        <f>IF($M29="○",VLOOKUP($BB29,参照データ!$C$24:$I$37,5,0),"")</f>
        <v/>
      </c>
      <c r="BG29" s="146" t="str">
        <f>IF($N29="20日",VLOOKUP($BB29,参照データ!$C$24:$I$37,6,0),"")</f>
        <v/>
      </c>
      <c r="BH29" s="156" t="str">
        <f>IF($O29="20日",VLOOKUP($BB29,参照データ!$C$24:$I$37,7,0),"")</f>
        <v/>
      </c>
      <c r="BI29" s="155" t="str">
        <f>IF($J29="21日",VLOOKUP($BB29,参照データ!$C$24:$I$37,2,0),"")</f>
        <v/>
      </c>
      <c r="BJ29" s="146" t="str">
        <f>IF($K29="21日",VLOOKUP($BB29,参照データ!$C$24:$I$37,3,0),"")</f>
        <v/>
      </c>
      <c r="BK29" s="146" t="str">
        <f>IF($L29="21日",VLOOKUP($BB29,参照データ!$C$24:$I$37,4,0),"")</f>
        <v/>
      </c>
      <c r="BL29" s="146" t="str">
        <f>IF($M29="21日",VLOOKUP($BB29,参照データ!$C$24:$I$37,5,0),"")</f>
        <v/>
      </c>
      <c r="BM29" s="146" t="str">
        <f>IF($N29="21日",VLOOKUP($BB29,参照データ!$C$24:$I$37,6,0),"")</f>
        <v/>
      </c>
      <c r="BN29" s="156" t="str">
        <f>IF($O29="21日",VLOOKUP($BB29,参照データ!$C$24:$I$37,7,0),"")</f>
        <v/>
      </c>
      <c r="BO29" s="223" t="str">
        <f t="shared" si="40"/>
        <v/>
      </c>
      <c r="BP29" s="154" t="str">
        <f>IF($R29="入門",VLOOKUP($BB29,参照データ!$C$43:$U$56,2,0),IF($R29="初級",VLOOKUP($BB29,参照データ!$C$43:$U$56,3,0),IF($R29="中級",VLOOKUP($BB29,参照データ!$C$43:$U$56,4,0),IF($R29="上級",VLOOKUP($BB29,参照データ!$C$43:$U$56,5,0),""))))</f>
        <v/>
      </c>
      <c r="BQ29" s="154" t="str">
        <f>IF($S29="初級",VLOOKUP($BB29,参照データ!$C$43:$U$56,6,0),IF($S29="中級",VLOOKUP($BB29,参照データ!$C$43:$U$56,7,0),IF($S29="上級",VLOOKUP($BB29,参照データ!$C$43:$U$56,8,0),"")))</f>
        <v/>
      </c>
      <c r="BR29" s="154" t="str">
        <f>IF($T29="初級",VLOOKUP($BB29,参照データ!$C$43:$U$56,9,0),IF($T29="上級",VLOOKUP($BB29,参照データ!$C$43:$U$56,10,0),""))</f>
        <v/>
      </c>
      <c r="BS29" s="154" t="str">
        <f>IF($U29="初級",VLOOKUP($BB29,参照データ!$C$43:$U$56,11,0),IF($U29="中級",VLOOKUP($BB29,参照データ!$C$43:$U$56,12,0),IF($U29="上級",VLOOKUP($BB29,参照データ!$C$43:$U$56,13,0),"")))</f>
        <v/>
      </c>
      <c r="BT29" s="154" t="str">
        <f>IF($V29="初級",VLOOKUP($BB29,参照データ!$C$43:$U$56,14,0),IF($V29="中級",VLOOKUP($BB29,参照データ!$C$43:$U$56,15,0),IF($V29="上級",VLOOKUP($BB29,参照データ!$C$43:$U$56,16,0),"")))</f>
        <v/>
      </c>
      <c r="BU29" s="47" t="str">
        <f t="shared" si="4"/>
        <v/>
      </c>
      <c r="BV29" s="47" t="str">
        <f>IF($W29="初級",VLOOKUP($BB29,参照データ!$C$43:$U$56,17,0),IF($W29="中級",VLOOKUP($BB29,参照データ!$C$43:$U$56,18,0),IF($W29="上級",VLOOKUP($BB29,参照データ!$C$43:$U$56,19,0),"")))</f>
        <v/>
      </c>
      <c r="BW29" s="687"/>
      <c r="BX29" s="65" t="s">
        <v>102</v>
      </c>
      <c r="BY29" s="135" t="str">
        <f t="shared" si="11"/>
        <v/>
      </c>
      <c r="BZ29" s="689"/>
      <c r="CB29" s="53" t="str">
        <f>IF(AND($AW29&gt;=参照データ!$C$67,$AW29&lt;=参照データ!$C$65),1,IF(AND($AW29&gt;=参照データ!$C$70,$AW29&lt;=参照データ!$C$68),2,IF(AND($AW29&gt;=参照データ!$C$73,$AW29&lt;=参照データ!$C$71),3,IF(AND($AW29&gt;=参照データ!$C$76,$AW29&lt;=参照データ!$C$74),4,IF(AND($AW29&gt;=参照データ!$C$79,$AW29&lt;=参照データ!$C$77),5,IF(AND($AW29&gt;0,$AW29&lt;=参照データ!$C$80),6,""))))))</f>
        <v/>
      </c>
      <c r="CC29" s="141" t="str">
        <f>IF($Z29="○",(VLOOKUP($CB29,参照データ!$D$65:$J$82,2,0)),"")</f>
        <v/>
      </c>
      <c r="CD29" s="71" t="str">
        <f t="shared" si="12"/>
        <v/>
      </c>
      <c r="CE29" s="70" t="str">
        <f>IF($AB29="○",(VLOOKUP($CB29,参照データ!$D$65:$J$82,3,0)),"")</f>
        <v/>
      </c>
      <c r="CF29" s="71" t="str">
        <f t="shared" si="13"/>
        <v/>
      </c>
      <c r="CG29" s="70" t="str">
        <f>IF($AD29="○",(VLOOKUP($CB29,参照データ!$D$65:$J$82,4,0)),"")</f>
        <v/>
      </c>
      <c r="CH29" s="71" t="str">
        <f t="shared" si="14"/>
        <v/>
      </c>
      <c r="CI29" s="70" t="str">
        <f>IF($AF29="○",(VLOOKUP($CB29,参照データ!$D$65:$J$82,5,0)),"")</f>
        <v/>
      </c>
      <c r="CJ29" s="71" t="str">
        <f t="shared" si="5"/>
        <v/>
      </c>
      <c r="CK29" s="70" t="str">
        <f>IF($AH29="○",(VLOOKUP($CB29,参照データ!$D$65:$J$82,6,0)),"")</f>
        <v/>
      </c>
      <c r="CL29" s="71" t="str">
        <f t="shared" si="15"/>
        <v/>
      </c>
      <c r="CM29" s="33" t="str">
        <f t="shared" si="16"/>
        <v/>
      </c>
      <c r="CN29" s="32" t="str">
        <f t="shared" si="17"/>
        <v/>
      </c>
      <c r="CO29" s="71" t="str">
        <f t="shared" si="18"/>
        <v/>
      </c>
      <c r="CP29" s="682"/>
      <c r="CQ29" s="77" t="s">
        <v>102</v>
      </c>
      <c r="CR29" s="78" t="str">
        <f t="shared" si="19"/>
        <v/>
      </c>
      <c r="CS29" s="684"/>
      <c r="CT29" s="308" t="str">
        <f t="shared" ref="CT29" si="62">$CT28</f>
        <v/>
      </c>
      <c r="CU29" s="70"/>
      <c r="CV29" s="172" t="str">
        <f t="shared" si="20"/>
        <v/>
      </c>
      <c r="CX29" s="32"/>
      <c r="CY29" s="161" t="str">
        <f t="shared" si="21"/>
        <v/>
      </c>
      <c r="CZ29" s="744"/>
      <c r="DA29" s="164" t="s">
        <v>102</v>
      </c>
      <c r="DB29" s="165" t="str">
        <f t="shared" si="42"/>
        <v/>
      </c>
      <c r="DC29" s="742"/>
      <c r="DD29" t="str">
        <f>IF($DE29="","",DATEDIF($AW29,参照データ!$D$19,"Y"))</f>
        <v/>
      </c>
      <c r="DE29" s="253" t="str">
        <f>IFERROR(IF($AX29="男子",VLOOKUP($DL29,参照データ!$D$88:$E$117,2,0),$DL29),0)</f>
        <v/>
      </c>
      <c r="DF29" s="84" t="str">
        <f>IF($Z29="選手権",(VLOOKUP($DE29,参照データ!$D$88:$K$117,3,0)),"")</f>
        <v/>
      </c>
      <c r="DG29" s="85" t="str">
        <f t="shared" si="6"/>
        <v/>
      </c>
      <c r="DH29" s="84" t="str">
        <f>IF($AB29="選手権",(VLOOKUP($DE29,参照データ!$D$88:$K$117,4,0)),"")</f>
        <v/>
      </c>
      <c r="DI29" s="85" t="str">
        <f t="shared" si="7"/>
        <v/>
      </c>
      <c r="DJ29" s="84" t="str">
        <f>IF($AD29="選手権",(VLOOKUP($DE29,参照データ!$D$88:$K$117,5,0)),"")</f>
        <v/>
      </c>
      <c r="DK29" s="85" t="str">
        <f t="shared" si="8"/>
        <v/>
      </c>
      <c r="DL29" s="53" t="str">
        <f>IF(AND($AW29&gt;=参照データ!$C$90,$AW29&lt;=参照データ!$C$88),1,IF(AND($AW29&gt;=参照データ!$C$93,$AW29&lt;=参照データ!$C$91),2,IF(AND($AW29&gt;=参照データ!$C$99,$AW29&lt;=参照データ!$C$97),3,IF(AND($AW29&gt;=参照データ!$C$105,$AW29&lt;=参照データ!$C$103),4,IF(AND($AW29&gt;=参照データ!$C$111,$AW29&lt;=参照データ!$C$109),5,IF(AND($AW29&gt;0,$AW29&lt;=参照データ!$C$112),6,""))))))</f>
        <v/>
      </c>
      <c r="DM29" s="84" t="str">
        <f>IF($AF29="選手権",(VLOOKUP($DL29,参照データ!$D$88:$K$117,6,0)),"")</f>
        <v/>
      </c>
      <c r="DN29" s="85" t="str">
        <f t="shared" si="9"/>
        <v/>
      </c>
      <c r="DO29" s="84" t="str">
        <f>IF($AH29="選手権",(VLOOKUP($DL29,参照データ!$D$88:$K$117,7,0)),"")</f>
        <v/>
      </c>
      <c r="DP29" s="85" t="str">
        <f t="shared" si="22"/>
        <v/>
      </c>
      <c r="DQ29" s="33" t="str">
        <f t="shared" si="23"/>
        <v/>
      </c>
      <c r="DR29" s="32" t="str">
        <f t="shared" si="24"/>
        <v/>
      </c>
      <c r="DS29" s="85" t="str">
        <f t="shared" si="25"/>
        <v/>
      </c>
      <c r="DT29" s="733"/>
      <c r="DU29" s="91" t="s">
        <v>102</v>
      </c>
      <c r="DV29" s="92" t="str">
        <f t="shared" si="35"/>
        <v/>
      </c>
      <c r="DW29" s="735"/>
      <c r="DX29" s="312" t="str">
        <f t="shared" ref="DX29" si="63">$DX28</f>
        <v/>
      </c>
      <c r="DZ29" s="491" t="str">
        <f t="shared" si="26"/>
        <v/>
      </c>
      <c r="EE29" s="35">
        <f>(COUNTIF($J29:$O29,"&lt;&gt;"))*参照データ!$E$3</f>
        <v>0</v>
      </c>
      <c r="EF29" s="219" t="str">
        <f>IF($Y29="○",参照データ!$E$4,"")</f>
        <v/>
      </c>
      <c r="EG29" s="18">
        <f>(SUM(COUNTIF($R29:$V29,{"入門","初級"}))*参照データ!$E$9)+(SUM(COUNTIF($R29:$V29,{"中級","上級"})*参照データ!$E$10))</f>
        <v>0</v>
      </c>
      <c r="EH29" s="18">
        <f>IFERROR(VLOOKUP($W29,参照データ!$D$9:$J$11,7,0),0)</f>
        <v>0</v>
      </c>
      <c r="EI29" s="18">
        <f>((COUNTIF($Z29:$AH29,"○"))*参照データ!$E$12)</f>
        <v>0</v>
      </c>
      <c r="EJ29" s="18" t="str">
        <f>(IF($AJ29="○",参照データ!$J$12,""))</f>
        <v/>
      </c>
      <c r="EM29" s="18">
        <f>((COUNTIF($Z29:$AH29,"選手権"))*参照データ!$E$13)</f>
        <v>0</v>
      </c>
      <c r="EN29" s="18" t="str">
        <f>(IF($AJ29="選手権",参照データ!$J$13,""))</f>
        <v/>
      </c>
      <c r="EO29" s="18">
        <f>(COUNTIF($AQ29:$AR29,"&lt;&gt;"))*参照データ!$H$3</f>
        <v>0</v>
      </c>
      <c r="EP29" s="18"/>
      <c r="EQ29" s="98">
        <f t="array" ref="EQ29">SUM(IF(ISERROR(EE29:EN29),0,(EE29:EN29)))</f>
        <v>0</v>
      </c>
      <c r="ER29" s="18"/>
      <c r="ES29" s="18">
        <f t="shared" si="10"/>
        <v>0</v>
      </c>
      <c r="ET29" s="18">
        <f t="shared" si="36"/>
        <v>0</v>
      </c>
      <c r="EU29" s="18">
        <f t="shared" si="27"/>
        <v>0</v>
      </c>
      <c r="EV29" s="18">
        <f t="shared" si="28"/>
        <v>0</v>
      </c>
      <c r="EW29" s="18">
        <f t="shared" si="29"/>
        <v>0</v>
      </c>
      <c r="EX29" s="18">
        <f t="shared" si="30"/>
        <v>0</v>
      </c>
      <c r="EY29" t="str">
        <f t="shared" si="31"/>
        <v/>
      </c>
    </row>
    <row r="30" spans="1:155" ht="18.75" customHeight="1" x14ac:dyDescent="0.2">
      <c r="A30">
        <v>19</v>
      </c>
      <c r="B30" s="14" t="str">
        <f>IF(D30="","",IF(D30="重複","",COUNTIF(B$12:$B29,"&gt;0")+1))</f>
        <v/>
      </c>
      <c r="C30" s="464"/>
      <c r="D30" s="177"/>
      <c r="E30" s="177"/>
      <c r="F30" s="31"/>
      <c r="G30" s="41"/>
      <c r="H30" s="351">
        <f t="shared" si="32"/>
        <v>0</v>
      </c>
      <c r="I30" s="193" t="str">
        <f>IF($AW30=0,"",DATEDIF($AW30,参照データ!$D$16,"Y"))</f>
        <v/>
      </c>
      <c r="J30" s="517"/>
      <c r="K30" s="517"/>
      <c r="L30" s="517"/>
      <c r="M30" s="517"/>
      <c r="N30" s="517"/>
      <c r="O30" s="518"/>
      <c r="P30" s="345"/>
      <c r="Q30" s="345"/>
      <c r="R30" s="519"/>
      <c r="S30" s="244"/>
      <c r="T30" s="244"/>
      <c r="U30" s="244"/>
      <c r="V30" s="245"/>
      <c r="W30" s="248"/>
      <c r="X30" s="250"/>
      <c r="Y30" s="345"/>
      <c r="Z30" s="388"/>
      <c r="AA30" s="346" t="str">
        <f>IF($Z30="○",VLOOKUP($CB30,参照データ!$D$65:$M$82,9,0),IF($Z30="選手権",VLOOKUP($DE30,参照データ!$D$88:$O$117,10,0),""))</f>
        <v/>
      </c>
      <c r="AB30" s="388"/>
      <c r="AC30" s="346" t="str">
        <f>IF($AB30="○",VLOOKUP($CB30,参照データ!$D$65:$M$82,10,0),IF($AB30="選手権",VLOOKUP($DE30,参照データ!$D$88:$O$117,11,0),""))</f>
        <v/>
      </c>
      <c r="AD30" s="388"/>
      <c r="AE30" s="346" t="str">
        <f>IF($AD30="○",VLOOKUP($CB30,参照データ!$D$65:$M$82,10,0),IF($AD30="選手権",VLOOKUP($DE30,参照データ!$D$88:$O$117,11,0),""))</f>
        <v/>
      </c>
      <c r="AF30" s="388"/>
      <c r="AG30" s="346" t="str">
        <f>IF($AF30="○",VLOOKUP($CB30,参照データ!$D$65:$M$82,10,0),IF($AF30="選手権",VLOOKUP($DL30,参照データ!$D$88:$O$117,12,0),""))</f>
        <v/>
      </c>
      <c r="AH30" s="388"/>
      <c r="AI30" s="346" t="str">
        <f>IF($AH30="○",VLOOKUP($CB30,参照データ!$D$65:$M$82,10,0),IF($AH30="選手権",VLOOKUP($DL30,参照データ!$D$88:$O$117,12,0),""))</f>
        <v/>
      </c>
      <c r="AJ30" s="388"/>
      <c r="AK30" s="511"/>
      <c r="AL30" s="346" t="str">
        <f t="shared" si="3"/>
        <v/>
      </c>
      <c r="AM30" s="392"/>
      <c r="AN30" s="391"/>
      <c r="AO30" s="391"/>
      <c r="AP30" s="447"/>
      <c r="AQ30" s="321"/>
      <c r="AR30" s="481"/>
      <c r="AS30" s="393"/>
      <c r="AT30" s="483"/>
      <c r="AW30">
        <f t="shared" si="45"/>
        <v>0</v>
      </c>
      <c r="AX30" t="str">
        <f t="shared" si="33"/>
        <v/>
      </c>
      <c r="AY30" s="132"/>
      <c r="BA30" s="513" t="str">
        <f>IF(団体情報・入力の仕方!$C$3&lt;&gt;"大田区大会","",IF(AW30=0,"",IF(I30&gt;=18,"○","")))</f>
        <v/>
      </c>
      <c r="BB30" s="53" t="str">
        <f>IF($AW30=0,"",IF(AND($I30&gt;=6,$I30&lt;=19),VLOOKUP($I30,参照データ!$B$24:$C$37,2,0),IF($I30&lt;6,6,19)))</f>
        <v/>
      </c>
      <c r="BC30" s="155" t="str">
        <f>IF($J30="○",VLOOKUP($BB30,参照データ!$C$24:$I$37,2,0),"")</f>
        <v/>
      </c>
      <c r="BD30" s="146" t="str">
        <f>IF($K30="○",VLOOKUP($BB30,参照データ!$C$24:$I$37,3,0),"")</f>
        <v/>
      </c>
      <c r="BE30" s="146" t="str">
        <f>IF($L30="○",VLOOKUP($BB30,参照データ!$C$24:$I$37,4,0),"")</f>
        <v/>
      </c>
      <c r="BF30" s="146" t="str">
        <f>IF($M30="○",VLOOKUP($BB30,参照データ!$C$24:$I$37,5,0),"")</f>
        <v/>
      </c>
      <c r="BG30" s="146" t="str">
        <f>IF($N30="20日",VLOOKUP($BB30,参照データ!$C$24:$I$37,6,0),"")</f>
        <v/>
      </c>
      <c r="BH30" s="156" t="str">
        <f>IF($O30="20日",VLOOKUP($BB30,参照データ!$C$24:$I$37,7,0),"")</f>
        <v/>
      </c>
      <c r="BI30" s="155" t="str">
        <f>IF($J30="21日",VLOOKUP($BB30,参照データ!$C$24:$I$37,2,0),"")</f>
        <v/>
      </c>
      <c r="BJ30" s="146" t="str">
        <f>IF($K30="21日",VLOOKUP($BB30,参照データ!$C$24:$I$37,3,0),"")</f>
        <v/>
      </c>
      <c r="BK30" s="146" t="str">
        <f>IF($L30="21日",VLOOKUP($BB30,参照データ!$C$24:$I$37,4,0),"")</f>
        <v/>
      </c>
      <c r="BL30" s="146" t="str">
        <f>IF($M30="21日",VLOOKUP($BB30,参照データ!$C$24:$I$37,5,0),"")</f>
        <v/>
      </c>
      <c r="BM30" s="146" t="str">
        <f>IF($N30="21日",VLOOKUP($BB30,参照データ!$C$24:$I$37,6,0),"")</f>
        <v/>
      </c>
      <c r="BN30" s="156" t="str">
        <f>IF($O30="21日",VLOOKUP($BB30,参照データ!$C$24:$I$37,7,0),"")</f>
        <v/>
      </c>
      <c r="BO30" s="223" t="str">
        <f t="shared" si="40"/>
        <v/>
      </c>
      <c r="BP30" s="154" t="str">
        <f>IF($R30="入門",VLOOKUP($BB30,参照データ!$C$43:$U$56,2,0),IF($R30="初級",VLOOKUP($BB30,参照データ!$C$43:$U$56,3,0),IF($R30="中級",VLOOKUP($BB30,参照データ!$C$43:$U$56,4,0),IF($R30="上級",VLOOKUP($BB30,参照データ!$C$43:$U$56,5,0),""))))</f>
        <v/>
      </c>
      <c r="BQ30" s="154" t="str">
        <f>IF($S30="初級",VLOOKUP($BB30,参照データ!$C$43:$U$56,6,0),IF($S30="中級",VLOOKUP($BB30,参照データ!$C$43:$U$56,7,0),IF($S30="上級",VLOOKUP($BB30,参照データ!$C$43:$U$56,8,0),"")))</f>
        <v/>
      </c>
      <c r="BR30" s="154" t="str">
        <f>IF($T30="初級",VLOOKUP($BB30,参照データ!$C$43:$U$56,9,0),IF($T30="上級",VLOOKUP($BB30,参照データ!$C$43:$U$56,10,0),""))</f>
        <v/>
      </c>
      <c r="BS30" s="154" t="str">
        <f>IF($U30="初級",VLOOKUP($BB30,参照データ!$C$43:$U$56,11,0),IF($U30="中級",VLOOKUP($BB30,参照データ!$C$43:$U$56,12,0),IF($U30="上級",VLOOKUP($BB30,参照データ!$C$43:$U$56,13,0),"")))</f>
        <v/>
      </c>
      <c r="BT30" s="154" t="str">
        <f>IF($V30="初級",VLOOKUP($BB30,参照データ!$C$43:$U$56,14,0),IF($V30="中級",VLOOKUP($BB30,参照データ!$C$43:$U$56,15,0),IF($V30="上級",VLOOKUP($BB30,参照データ!$C$43:$U$56,16,0),"")))</f>
        <v/>
      </c>
      <c r="BU30" s="47" t="str">
        <f t="shared" si="4"/>
        <v/>
      </c>
      <c r="BV30" s="47" t="str">
        <f>IF($W30="初級",VLOOKUP($BB30,参照データ!$C$43:$U$56,17,0),IF($W30="中級",VLOOKUP($BB30,参照データ!$C$43:$U$56,18,0),IF($W30="上級",VLOOKUP($BB30,参照データ!$C$43:$U$56,19,0),"")))</f>
        <v/>
      </c>
      <c r="BW30" s="686">
        <v>10</v>
      </c>
      <c r="BX30" s="66" t="s">
        <v>103</v>
      </c>
      <c r="BY30" s="136" t="str">
        <f t="shared" si="11"/>
        <v/>
      </c>
      <c r="BZ30" s="688" t="str">
        <f t="shared" ref="BZ30" si="64">IF(OR($BY30="",$BY31=""),"",IF($BY30&gt;$BY31,$BY30,$BY31))</f>
        <v/>
      </c>
      <c r="CB30" s="53" t="str">
        <f>IF(AND($AW30&gt;=参照データ!$C$67,$AW30&lt;=参照データ!$C$65),1,IF(AND($AW30&gt;=参照データ!$C$70,$AW30&lt;=参照データ!$C$68),2,IF(AND($AW30&gt;=参照データ!$C$73,$AW30&lt;=参照データ!$C$71),3,IF(AND($AW30&gt;=参照データ!$C$76,$AW30&lt;=参照データ!$C$74),4,IF(AND($AW30&gt;=参照データ!$C$79,$AW30&lt;=参照データ!$C$77),5,IF(AND($AW30&gt;0,$AW30&lt;=参照データ!$C$80),6,""))))))</f>
        <v/>
      </c>
      <c r="CC30" s="141" t="str">
        <f>IF($Z30="○",(VLOOKUP($CB30,参照データ!$D$65:$J$82,2,0)),"")</f>
        <v/>
      </c>
      <c r="CD30" s="71" t="str">
        <f t="shared" si="12"/>
        <v/>
      </c>
      <c r="CE30" s="70" t="str">
        <f>IF($AB30="○",(VLOOKUP($CB30,参照データ!$D$65:$J$82,3,0)),"")</f>
        <v/>
      </c>
      <c r="CF30" s="71" t="str">
        <f t="shared" si="13"/>
        <v/>
      </c>
      <c r="CG30" s="70" t="str">
        <f>IF($AD30="○",(VLOOKUP($CB30,参照データ!$D$65:$J$82,4,0)),"")</f>
        <v/>
      </c>
      <c r="CH30" s="71" t="str">
        <f t="shared" si="14"/>
        <v/>
      </c>
      <c r="CI30" s="70" t="str">
        <f>IF($AF30="○",(VLOOKUP($CB30,参照データ!$D$65:$J$82,5,0)),"")</f>
        <v/>
      </c>
      <c r="CJ30" s="71" t="str">
        <f t="shared" si="5"/>
        <v/>
      </c>
      <c r="CK30" s="70" t="str">
        <f>IF($AH30="○",(VLOOKUP($CB30,参照データ!$D$65:$J$82,6,0)),"")</f>
        <v/>
      </c>
      <c r="CL30" s="71" t="str">
        <f t="shared" si="15"/>
        <v/>
      </c>
      <c r="CM30" s="33" t="str">
        <f t="shared" si="16"/>
        <v/>
      </c>
      <c r="CN30" s="32" t="str">
        <f t="shared" si="17"/>
        <v/>
      </c>
      <c r="CO30" s="71" t="str">
        <f t="shared" si="18"/>
        <v/>
      </c>
      <c r="CP30" s="681">
        <v>10</v>
      </c>
      <c r="CQ30" s="79" t="s">
        <v>103</v>
      </c>
      <c r="CR30" s="80" t="str">
        <f t="shared" si="19"/>
        <v/>
      </c>
      <c r="CS30" s="683" t="e">
        <f>IF($CR30&gt;$CR31,VLOOKUP($CR30,参照データ!$D$65:$J$82,7,0),VLOOKUP($CR31,参照データ!$D$65:$J$82,7,0))</f>
        <v>#N/A</v>
      </c>
      <c r="CT30" s="308" t="str">
        <f>IFERROR(VLOOKUP($CS30,参照データ!$J$65:$M$82,4,0),"")</f>
        <v/>
      </c>
      <c r="CU30" s="70"/>
      <c r="CV30" s="172" t="str">
        <f t="shared" si="20"/>
        <v/>
      </c>
      <c r="CX30" s="32"/>
      <c r="CY30" s="161" t="str">
        <f t="shared" si="21"/>
        <v/>
      </c>
      <c r="CZ30" s="743">
        <v>10</v>
      </c>
      <c r="DA30" s="166" t="s">
        <v>103</v>
      </c>
      <c r="DB30" s="167" t="str">
        <f t="shared" si="42"/>
        <v/>
      </c>
      <c r="DC30" s="741" t="str">
        <f>IF(OR(DB30="",DB31=""),"",IF(DB30&gt;DB31,DB30,DB31))</f>
        <v/>
      </c>
      <c r="DD30" t="str">
        <f>IF($DE30="","",DATEDIF($AW30,参照データ!$D$19,"Y"))</f>
        <v/>
      </c>
      <c r="DE30" s="253" t="str">
        <f>IFERROR(IF($AX30="男子",VLOOKUP($DL30,参照データ!$D$88:$E$117,2,0),$DL30),0)</f>
        <v/>
      </c>
      <c r="DF30" s="84" t="str">
        <f>IF($Z30="選手権",(VLOOKUP($DE30,参照データ!$D$88:$K$117,3,0)),"")</f>
        <v/>
      </c>
      <c r="DG30" s="85" t="str">
        <f t="shared" si="6"/>
        <v/>
      </c>
      <c r="DH30" s="84" t="str">
        <f>IF($AB30="選手権",(VLOOKUP($DE30,参照データ!$D$88:$K$117,4,0)),"")</f>
        <v/>
      </c>
      <c r="DI30" s="85" t="str">
        <f t="shared" si="7"/>
        <v/>
      </c>
      <c r="DJ30" s="84" t="str">
        <f>IF($AD30="選手権",(VLOOKUP($DE30,参照データ!$D$88:$K$117,5,0)),"")</f>
        <v/>
      </c>
      <c r="DK30" s="85" t="str">
        <f t="shared" si="8"/>
        <v/>
      </c>
      <c r="DL30" s="53" t="str">
        <f>IF(AND($AW30&gt;=参照データ!$C$90,$AW30&lt;=参照データ!$C$88),1,IF(AND($AW30&gt;=参照データ!$C$93,$AW30&lt;=参照データ!$C$91),2,IF(AND($AW30&gt;=参照データ!$C$99,$AW30&lt;=参照データ!$C$97),3,IF(AND($AW30&gt;=参照データ!$C$105,$AW30&lt;=参照データ!$C$103),4,IF(AND($AW30&gt;=参照データ!$C$111,$AW30&lt;=参照データ!$C$109),5,IF(AND($AW30&gt;0,$AW30&lt;=参照データ!$C$112),6,""))))))</f>
        <v/>
      </c>
      <c r="DM30" s="84" t="str">
        <f>IF($AF30="選手権",(VLOOKUP($DL30,参照データ!$D$88:$K$117,6,0)),"")</f>
        <v/>
      </c>
      <c r="DN30" s="85" t="str">
        <f t="shared" si="9"/>
        <v/>
      </c>
      <c r="DO30" s="84" t="str">
        <f>IF($AH30="選手権",(VLOOKUP($DL30,参照データ!$D$88:$K$117,7,0)),"")</f>
        <v/>
      </c>
      <c r="DP30" s="85" t="str">
        <f t="shared" si="22"/>
        <v/>
      </c>
      <c r="DQ30" s="33" t="str">
        <f t="shared" si="23"/>
        <v/>
      </c>
      <c r="DR30" s="32" t="str">
        <f t="shared" si="24"/>
        <v/>
      </c>
      <c r="DS30" s="85" t="str">
        <f t="shared" si="25"/>
        <v/>
      </c>
      <c r="DT30" s="736">
        <v>10</v>
      </c>
      <c r="DU30" s="93" t="s">
        <v>103</v>
      </c>
      <c r="DV30" s="94" t="str">
        <f t="shared" si="35"/>
        <v/>
      </c>
      <c r="DW30" s="737" t="e">
        <f>IF($DV30&gt;$DV31,VLOOKUP($DV30,参照データ!$D$88:$K$117,8,0),VLOOKUP($DV31,参照データ!$D$88:$K$117,8,0))</f>
        <v>#N/A</v>
      </c>
      <c r="DX30" s="312" t="str">
        <f>IFERROR(VLOOKUP($DW30,参照データ!$K$88:$O$117,5,0),"")</f>
        <v/>
      </c>
      <c r="DZ30" s="491" t="str">
        <f t="shared" si="26"/>
        <v/>
      </c>
      <c r="EE30" s="35">
        <f>(COUNTIF($J30:$O30,"&lt;&gt;"))*参照データ!$E$3</f>
        <v>0</v>
      </c>
      <c r="EF30" s="219" t="str">
        <f>IF($Y30="○",参照データ!$E$4,"")</f>
        <v/>
      </c>
      <c r="EG30" s="18">
        <f>(SUM(COUNTIF($R30:$V30,{"入門","初級"}))*参照データ!$E$9)+(SUM(COUNTIF($R30:$V30,{"中級","上級"})*参照データ!$E$10))</f>
        <v>0</v>
      </c>
      <c r="EH30" s="18">
        <f>IFERROR(VLOOKUP($W30,参照データ!$D$9:$J$11,7,0),0)</f>
        <v>0</v>
      </c>
      <c r="EI30" s="18">
        <f>((COUNTIF($Z30:$AH30,"○"))*参照データ!$E$12)</f>
        <v>0</v>
      </c>
      <c r="EJ30" s="18" t="str">
        <f>(IF($AJ30="○",参照データ!$J$12,""))</f>
        <v/>
      </c>
      <c r="EM30" s="18">
        <f>((COUNTIF($Z30:$AH30,"選手権"))*参照データ!$E$13)</f>
        <v>0</v>
      </c>
      <c r="EN30" s="18" t="str">
        <f>(IF($AJ30="選手権",参照データ!$J$13,""))</f>
        <v/>
      </c>
      <c r="EO30" s="18">
        <f>(COUNTIF($AQ30:$AR30,"&lt;&gt;"))*参照データ!$H$3</f>
        <v>0</v>
      </c>
      <c r="EP30" s="18"/>
      <c r="EQ30" s="98">
        <f t="array" ref="EQ30">SUM(IF(ISERROR(EE30:EN30),0,(EE30:EN30)))</f>
        <v>0</v>
      </c>
      <c r="ER30" s="18"/>
      <c r="ES30" s="18">
        <f t="shared" si="10"/>
        <v>0</v>
      </c>
      <c r="ET30" s="18">
        <f t="shared" si="36"/>
        <v>0</v>
      </c>
      <c r="EU30" s="18">
        <f t="shared" si="27"/>
        <v>0</v>
      </c>
      <c r="EV30" s="18">
        <f t="shared" si="28"/>
        <v>0</v>
      </c>
      <c r="EW30" s="18">
        <f t="shared" si="29"/>
        <v>0</v>
      </c>
      <c r="EX30" s="18">
        <f t="shared" si="30"/>
        <v>0</v>
      </c>
      <c r="EY30" t="str">
        <f t="shared" si="31"/>
        <v/>
      </c>
    </row>
    <row r="31" spans="1:155" ht="18.75" customHeight="1" x14ac:dyDescent="0.2">
      <c r="A31">
        <v>20</v>
      </c>
      <c r="B31" s="14" t="str">
        <f>IF(D31="","",IF(D31="重複","",COUNTIF(B$12:$B30,"&gt;0")+1))</f>
        <v/>
      </c>
      <c r="C31" s="464"/>
      <c r="D31" s="177"/>
      <c r="E31" s="177"/>
      <c r="F31" s="31"/>
      <c r="G31" s="41"/>
      <c r="H31" s="351">
        <f t="shared" si="32"/>
        <v>0</v>
      </c>
      <c r="I31" s="193" t="str">
        <f>IF($AW31=0,"",DATEDIF($AW31,参照データ!$D$16,"Y"))</f>
        <v/>
      </c>
      <c r="J31" s="517"/>
      <c r="K31" s="517"/>
      <c r="L31" s="517"/>
      <c r="M31" s="517"/>
      <c r="N31" s="517"/>
      <c r="O31" s="518"/>
      <c r="P31" s="345"/>
      <c r="Q31" s="345"/>
      <c r="R31" s="519"/>
      <c r="S31" s="244"/>
      <c r="T31" s="244"/>
      <c r="U31" s="244"/>
      <c r="V31" s="245"/>
      <c r="W31" s="248"/>
      <c r="X31" s="250"/>
      <c r="Y31" s="345"/>
      <c r="Z31" s="388"/>
      <c r="AA31" s="346" t="str">
        <f>IF($Z31="○",VLOOKUP($CB31,参照データ!$D$65:$M$82,9,0),IF($Z31="選手権",VLOOKUP($DE31,参照データ!$D$88:$O$117,10,0),""))</f>
        <v/>
      </c>
      <c r="AB31" s="388"/>
      <c r="AC31" s="346" t="str">
        <f>IF($AB31="○",VLOOKUP($CB31,参照データ!$D$65:$M$82,10,0),IF($AB31="選手権",VLOOKUP($DE31,参照データ!$D$88:$O$117,11,0),""))</f>
        <v/>
      </c>
      <c r="AD31" s="388"/>
      <c r="AE31" s="346" t="str">
        <f>IF($AD31="○",VLOOKUP($CB31,参照データ!$D$65:$M$82,10,0),IF($AD31="選手権",VLOOKUP($DE31,参照データ!$D$88:$O$117,11,0),""))</f>
        <v/>
      </c>
      <c r="AF31" s="388"/>
      <c r="AG31" s="346" t="str">
        <f>IF($AF31="○",VLOOKUP($CB31,参照データ!$D$65:$M$82,10,0),IF($AF31="選手権",VLOOKUP($DL31,参照データ!$D$88:$O$117,12,0),""))</f>
        <v/>
      </c>
      <c r="AH31" s="388"/>
      <c r="AI31" s="346" t="str">
        <f>IF($AH31="○",VLOOKUP($CB31,参照データ!$D$65:$M$82,10,0),IF($AH31="選手権",VLOOKUP($DL31,参照データ!$D$88:$O$117,12,0),""))</f>
        <v/>
      </c>
      <c r="AJ31" s="388"/>
      <c r="AK31" s="511"/>
      <c r="AL31" s="346" t="str">
        <f t="shared" si="3"/>
        <v/>
      </c>
      <c r="AM31" s="392"/>
      <c r="AN31" s="391"/>
      <c r="AO31" s="391"/>
      <c r="AP31" s="447"/>
      <c r="AQ31" s="321"/>
      <c r="AR31" s="481"/>
      <c r="AS31" s="393"/>
      <c r="AT31" s="483"/>
      <c r="AW31">
        <f t="shared" si="45"/>
        <v>0</v>
      </c>
      <c r="AX31" t="str">
        <f t="shared" si="33"/>
        <v/>
      </c>
      <c r="AY31" s="132"/>
      <c r="BA31" s="513" t="str">
        <f>IF(団体情報・入力の仕方!$C$3&lt;&gt;"大田区大会","",IF(AW31=0,"",IF(I31&gt;=18,"○","")))</f>
        <v/>
      </c>
      <c r="BB31" s="53" t="str">
        <f>IF($AW31=0,"",IF(AND($I31&gt;=6,$I31&lt;=19),VLOOKUP($I31,参照データ!$B$24:$C$37,2,0),IF($I31&lt;6,6,19)))</f>
        <v/>
      </c>
      <c r="BC31" s="155" t="str">
        <f>IF($J31="○",VLOOKUP($BB31,参照データ!$C$24:$I$37,2,0),"")</f>
        <v/>
      </c>
      <c r="BD31" s="146" t="str">
        <f>IF($K31="○",VLOOKUP($BB31,参照データ!$C$24:$I$37,3,0),"")</f>
        <v/>
      </c>
      <c r="BE31" s="146" t="str">
        <f>IF($L31="○",VLOOKUP($BB31,参照データ!$C$24:$I$37,4,0),"")</f>
        <v/>
      </c>
      <c r="BF31" s="146" t="str">
        <f>IF($M31="○",VLOOKUP($BB31,参照データ!$C$24:$I$37,5,0),"")</f>
        <v/>
      </c>
      <c r="BG31" s="146" t="str">
        <f>IF($N31="20日",VLOOKUP($BB31,参照データ!$C$24:$I$37,6,0),"")</f>
        <v/>
      </c>
      <c r="BH31" s="156" t="str">
        <f>IF($O31="20日",VLOOKUP($BB31,参照データ!$C$24:$I$37,7,0),"")</f>
        <v/>
      </c>
      <c r="BI31" s="155" t="str">
        <f>IF($J31="21日",VLOOKUP($BB31,参照データ!$C$24:$I$37,2,0),"")</f>
        <v/>
      </c>
      <c r="BJ31" s="146" t="str">
        <f>IF($K31="21日",VLOOKUP($BB31,参照データ!$C$24:$I$37,3,0),"")</f>
        <v/>
      </c>
      <c r="BK31" s="146" t="str">
        <f>IF($L31="21日",VLOOKUP($BB31,参照データ!$C$24:$I$37,4,0),"")</f>
        <v/>
      </c>
      <c r="BL31" s="146" t="str">
        <f>IF($M31="21日",VLOOKUP($BB31,参照データ!$C$24:$I$37,5,0),"")</f>
        <v/>
      </c>
      <c r="BM31" s="146" t="str">
        <f>IF($N31="21日",VLOOKUP($BB31,参照データ!$C$24:$I$37,6,0),"")</f>
        <v/>
      </c>
      <c r="BN31" s="156" t="str">
        <f>IF($O31="21日",VLOOKUP($BB31,参照データ!$C$24:$I$37,7,0),"")</f>
        <v/>
      </c>
      <c r="BO31" s="223" t="str">
        <f t="shared" si="40"/>
        <v/>
      </c>
      <c r="BP31" s="154" t="str">
        <f>IF($R31="入門",VLOOKUP($BB31,参照データ!$C$43:$U$56,2,0),IF($R31="初級",VLOOKUP($BB31,参照データ!$C$43:$U$56,3,0),IF($R31="中級",VLOOKUP($BB31,参照データ!$C$43:$U$56,4,0),IF($R31="上級",VLOOKUP($BB31,参照データ!$C$43:$U$56,5,0),""))))</f>
        <v/>
      </c>
      <c r="BQ31" s="154" t="str">
        <f>IF($S31="初級",VLOOKUP($BB31,参照データ!$C$43:$U$56,6,0),IF($S31="中級",VLOOKUP($BB31,参照データ!$C$43:$U$56,7,0),IF($S31="上級",VLOOKUP($BB31,参照データ!$C$43:$U$56,8,0),"")))</f>
        <v/>
      </c>
      <c r="BR31" s="154" t="str">
        <f>IF($T31="初級",VLOOKUP($BB31,参照データ!$C$43:$U$56,9,0),IF($T31="上級",VLOOKUP($BB31,参照データ!$C$43:$U$56,10,0),""))</f>
        <v/>
      </c>
      <c r="BS31" s="154" t="str">
        <f>IF($U31="初級",VLOOKUP($BB31,参照データ!$C$43:$U$56,11,0),IF($U31="中級",VLOOKUP($BB31,参照データ!$C$43:$U$56,12,0),IF($U31="上級",VLOOKUP($BB31,参照データ!$C$43:$U$56,13,0),"")))</f>
        <v/>
      </c>
      <c r="BT31" s="154" t="str">
        <f>IF($V31="初級",VLOOKUP($BB31,参照データ!$C$43:$U$56,14,0),IF($V31="中級",VLOOKUP($BB31,参照データ!$C$43:$U$56,15,0),IF($V31="上級",VLOOKUP($BB31,参照データ!$C$43:$U$56,16,0),"")))</f>
        <v/>
      </c>
      <c r="BU31" s="47" t="str">
        <f t="shared" si="4"/>
        <v/>
      </c>
      <c r="BV31" s="47" t="str">
        <f>IF($W31="初級",VLOOKUP($BB31,参照データ!$C$43:$U$56,17,0),IF($W31="中級",VLOOKUP($BB31,参照データ!$C$43:$U$56,18,0),IF($W31="上級",VLOOKUP($BB31,参照データ!$C$43:$U$56,19,0),"")))</f>
        <v/>
      </c>
      <c r="BW31" s="687"/>
      <c r="BX31" s="65" t="s">
        <v>104</v>
      </c>
      <c r="BY31" s="135" t="str">
        <f t="shared" si="11"/>
        <v/>
      </c>
      <c r="BZ31" s="689"/>
      <c r="CB31" s="53" t="str">
        <f>IF(AND($AW31&gt;=参照データ!$C$67,$AW31&lt;=参照データ!$C$65),1,IF(AND($AW31&gt;=参照データ!$C$70,$AW31&lt;=参照データ!$C$68),2,IF(AND($AW31&gt;=参照データ!$C$73,$AW31&lt;=参照データ!$C$71),3,IF(AND($AW31&gt;=参照データ!$C$76,$AW31&lt;=参照データ!$C$74),4,IF(AND($AW31&gt;=参照データ!$C$79,$AW31&lt;=参照データ!$C$77),5,IF(AND($AW31&gt;0,$AW31&lt;=参照データ!$C$80),6,""))))))</f>
        <v/>
      </c>
      <c r="CC31" s="141" t="str">
        <f>IF($Z31="○",(VLOOKUP($CB31,参照データ!$D$65:$J$82,2,0)),"")</f>
        <v/>
      </c>
      <c r="CD31" s="71" t="str">
        <f t="shared" si="12"/>
        <v/>
      </c>
      <c r="CE31" s="70" t="str">
        <f>IF($AB31="○",(VLOOKUP($CB31,参照データ!$D$65:$J$82,3,0)),"")</f>
        <v/>
      </c>
      <c r="CF31" s="71" t="str">
        <f t="shared" si="13"/>
        <v/>
      </c>
      <c r="CG31" s="70" t="str">
        <f>IF($AD31="○",(VLOOKUP($CB31,参照データ!$D$65:$J$82,4,0)),"")</f>
        <v/>
      </c>
      <c r="CH31" s="71" t="str">
        <f t="shared" si="14"/>
        <v/>
      </c>
      <c r="CI31" s="70" t="str">
        <f>IF($AF31="○",(VLOOKUP($CB31,参照データ!$D$65:$J$82,5,0)),"")</f>
        <v/>
      </c>
      <c r="CJ31" s="71" t="str">
        <f t="shared" si="5"/>
        <v/>
      </c>
      <c r="CK31" s="70" t="str">
        <f>IF($AH31="○",(VLOOKUP($CB31,参照データ!$D$65:$J$82,6,0)),"")</f>
        <v/>
      </c>
      <c r="CL31" s="71" t="str">
        <f t="shared" si="15"/>
        <v/>
      </c>
      <c r="CM31" s="33" t="str">
        <f t="shared" si="16"/>
        <v/>
      </c>
      <c r="CN31" s="32" t="str">
        <f t="shared" si="17"/>
        <v/>
      </c>
      <c r="CO31" s="71" t="str">
        <f t="shared" si="18"/>
        <v/>
      </c>
      <c r="CP31" s="682"/>
      <c r="CQ31" s="77" t="s">
        <v>104</v>
      </c>
      <c r="CR31" s="78" t="str">
        <f t="shared" si="19"/>
        <v/>
      </c>
      <c r="CS31" s="684"/>
      <c r="CT31" s="308" t="str">
        <f t="shared" ref="CT31" si="65">$CT30</f>
        <v/>
      </c>
      <c r="CU31" s="70"/>
      <c r="CV31" s="172" t="str">
        <f t="shared" si="20"/>
        <v/>
      </c>
      <c r="CX31" s="32"/>
      <c r="CY31" s="161" t="str">
        <f t="shared" si="21"/>
        <v/>
      </c>
      <c r="CZ31" s="744"/>
      <c r="DA31" s="164" t="s">
        <v>104</v>
      </c>
      <c r="DB31" s="165" t="str">
        <f t="shared" si="42"/>
        <v/>
      </c>
      <c r="DC31" s="742"/>
      <c r="DD31" t="str">
        <f>IF($DE31="","",DATEDIF($AW31,参照データ!$D$19,"Y"))</f>
        <v/>
      </c>
      <c r="DE31" s="253" t="str">
        <f>IFERROR(IF($AX31="男子",VLOOKUP($DL31,参照データ!$D$88:$E$117,2,0),$DL31),0)</f>
        <v/>
      </c>
      <c r="DF31" s="84" t="str">
        <f>IF($Z31="選手権",(VLOOKUP($DE31,参照データ!$D$88:$K$117,3,0)),"")</f>
        <v/>
      </c>
      <c r="DG31" s="85" t="str">
        <f t="shared" si="6"/>
        <v/>
      </c>
      <c r="DH31" s="84" t="str">
        <f>IF($AB31="選手権",(VLOOKUP($DE31,参照データ!$D$88:$K$117,4,0)),"")</f>
        <v/>
      </c>
      <c r="DI31" s="85" t="str">
        <f t="shared" si="7"/>
        <v/>
      </c>
      <c r="DJ31" s="84" t="str">
        <f>IF($AD31="選手権",(VLOOKUP($DE31,参照データ!$D$88:$K$117,5,0)),"")</f>
        <v/>
      </c>
      <c r="DK31" s="85" t="str">
        <f t="shared" si="8"/>
        <v/>
      </c>
      <c r="DL31" s="53" t="str">
        <f>IF(AND($AW31&gt;=参照データ!$C$90,$AW31&lt;=参照データ!$C$88),1,IF(AND($AW31&gt;=参照データ!$C$93,$AW31&lt;=参照データ!$C$91),2,IF(AND($AW31&gt;=参照データ!$C$99,$AW31&lt;=参照データ!$C$97),3,IF(AND($AW31&gt;=参照データ!$C$105,$AW31&lt;=参照データ!$C$103),4,IF(AND($AW31&gt;=参照データ!$C$111,$AW31&lt;=参照データ!$C$109),5,IF(AND($AW31&gt;0,$AW31&lt;=参照データ!$C$112),6,""))))))</f>
        <v/>
      </c>
      <c r="DM31" s="84" t="str">
        <f>IF($AF31="選手権",(VLOOKUP($DL31,参照データ!$D$88:$K$117,6,0)),"")</f>
        <v/>
      </c>
      <c r="DN31" s="85" t="str">
        <f t="shared" si="9"/>
        <v/>
      </c>
      <c r="DO31" s="84" t="str">
        <f>IF($AH31="選手権",(VLOOKUP($DL31,参照データ!$D$88:$K$117,7,0)),"")</f>
        <v/>
      </c>
      <c r="DP31" s="85" t="str">
        <f t="shared" si="22"/>
        <v/>
      </c>
      <c r="DQ31" s="33" t="str">
        <f t="shared" si="23"/>
        <v/>
      </c>
      <c r="DR31" s="32" t="str">
        <f t="shared" si="24"/>
        <v/>
      </c>
      <c r="DS31" s="85" t="str">
        <f t="shared" si="25"/>
        <v/>
      </c>
      <c r="DT31" s="733"/>
      <c r="DU31" s="91" t="s">
        <v>104</v>
      </c>
      <c r="DV31" s="92" t="str">
        <f t="shared" si="35"/>
        <v/>
      </c>
      <c r="DW31" s="735"/>
      <c r="DX31" s="312" t="str">
        <f>IFERROR(VLOOKUP($DW31,参照データ!$K$88:$O$117,5,0),"")</f>
        <v/>
      </c>
      <c r="DZ31" s="491" t="str">
        <f t="shared" si="26"/>
        <v/>
      </c>
      <c r="EE31" s="35">
        <f>(COUNTIF($J31:$O31,"&lt;&gt;"))*参照データ!$E$3</f>
        <v>0</v>
      </c>
      <c r="EF31" s="219" t="str">
        <f>IF($Y31="○",参照データ!$E$4,"")</f>
        <v/>
      </c>
      <c r="EG31" s="18">
        <f>(SUM(COUNTIF($R31:$V31,{"入門","初級"}))*参照データ!$E$9)+(SUM(COUNTIF($R31:$V31,{"中級","上級"})*参照データ!$E$10))</f>
        <v>0</v>
      </c>
      <c r="EH31" s="18">
        <f>IFERROR(VLOOKUP($W31,参照データ!$D$9:$J$11,7,0),0)</f>
        <v>0</v>
      </c>
      <c r="EI31" s="18">
        <f>((COUNTIF($Z31:$AH31,"○"))*参照データ!$E$12)</f>
        <v>0</v>
      </c>
      <c r="EJ31" s="18" t="str">
        <f>(IF($AJ31="○",参照データ!$J$12,""))</f>
        <v/>
      </c>
      <c r="EM31" s="18">
        <f>((COUNTIF($Z31:$AH31,"選手権"))*参照データ!$E$13)</f>
        <v>0</v>
      </c>
      <c r="EN31" s="18" t="str">
        <f>(IF($AJ31="選手権",参照データ!$J$13,""))</f>
        <v/>
      </c>
      <c r="EO31" s="18">
        <f>(COUNTIF($AQ31:$AR31,"&lt;&gt;"))*参照データ!$H$3</f>
        <v>0</v>
      </c>
      <c r="EP31" s="18"/>
      <c r="EQ31" s="98">
        <f t="array" ref="EQ31">SUM(IF(ISERROR(EE31:EN31),0,(EE31:EN31)))</f>
        <v>0</v>
      </c>
      <c r="ER31" s="18"/>
      <c r="ES31" s="18">
        <f t="shared" si="10"/>
        <v>0</v>
      </c>
      <c r="ET31" s="18">
        <f t="shared" si="36"/>
        <v>0</v>
      </c>
      <c r="EU31" s="18">
        <f t="shared" si="27"/>
        <v>0</v>
      </c>
      <c r="EV31" s="18">
        <f t="shared" si="28"/>
        <v>0</v>
      </c>
      <c r="EW31" s="18">
        <f t="shared" si="29"/>
        <v>0</v>
      </c>
      <c r="EX31" s="18">
        <f t="shared" si="30"/>
        <v>0</v>
      </c>
      <c r="EY31" t="str">
        <f t="shared" si="31"/>
        <v/>
      </c>
    </row>
    <row r="32" spans="1:155" ht="18.75" customHeight="1" x14ac:dyDescent="0.2">
      <c r="A32">
        <v>21</v>
      </c>
      <c r="B32" s="14" t="str">
        <f>IF(D32="","",IF(D32="重複","",COUNTIF(B$12:$B31,"&gt;0")+1))</f>
        <v/>
      </c>
      <c r="C32" s="464"/>
      <c r="D32" s="177"/>
      <c r="E32" s="177"/>
      <c r="F32" s="31"/>
      <c r="G32" s="41"/>
      <c r="H32" s="351">
        <f t="shared" si="32"/>
        <v>0</v>
      </c>
      <c r="I32" s="193" t="str">
        <f>IF($AW32=0,"",DATEDIF($AW32,参照データ!$D$16,"Y"))</f>
        <v/>
      </c>
      <c r="J32" s="517"/>
      <c r="K32" s="517"/>
      <c r="L32" s="517"/>
      <c r="M32" s="517"/>
      <c r="N32" s="517"/>
      <c r="O32" s="518"/>
      <c r="P32" s="345"/>
      <c r="Q32" s="345"/>
      <c r="R32" s="519"/>
      <c r="S32" s="244"/>
      <c r="T32" s="244"/>
      <c r="U32" s="244"/>
      <c r="V32" s="245"/>
      <c r="W32" s="248"/>
      <c r="X32" s="250"/>
      <c r="Y32" s="345"/>
      <c r="Z32" s="388"/>
      <c r="AA32" s="346" t="str">
        <f>IF($Z32="○",VLOOKUP($CB32,参照データ!$D$65:$M$82,9,0),IF($Z32="選手権",VLOOKUP($DE32,参照データ!$D$88:$O$117,10,0),""))</f>
        <v/>
      </c>
      <c r="AB32" s="388"/>
      <c r="AC32" s="346" t="str">
        <f>IF($AB32="○",VLOOKUP($CB32,参照データ!$D$65:$M$82,10,0),IF($AB32="選手権",VLOOKUP($DE32,参照データ!$D$88:$O$117,11,0),""))</f>
        <v/>
      </c>
      <c r="AD32" s="388"/>
      <c r="AE32" s="346" t="str">
        <f>IF($AD32="○",VLOOKUP($CB32,参照データ!$D$65:$M$82,10,0),IF($AD32="選手権",VLOOKUP($DE32,参照データ!$D$88:$O$117,11,0),""))</f>
        <v/>
      </c>
      <c r="AF32" s="388"/>
      <c r="AG32" s="346" t="str">
        <f>IF($AF32="○",VLOOKUP($CB32,参照データ!$D$65:$M$82,10,0),IF($AF32="選手権",VLOOKUP($DL32,参照データ!$D$88:$O$117,12,0),""))</f>
        <v/>
      </c>
      <c r="AH32" s="388"/>
      <c r="AI32" s="346" t="str">
        <f>IF($AH32="○",VLOOKUP($CB32,参照データ!$D$65:$M$82,10,0),IF($AH32="選手権",VLOOKUP($DL32,参照データ!$D$88:$O$117,12,0),""))</f>
        <v/>
      </c>
      <c r="AJ32" s="388"/>
      <c r="AK32" s="511"/>
      <c r="AL32" s="346" t="str">
        <f t="shared" si="3"/>
        <v/>
      </c>
      <c r="AM32" s="392"/>
      <c r="AN32" s="391"/>
      <c r="AO32" s="391"/>
      <c r="AP32" s="447"/>
      <c r="AQ32" s="321"/>
      <c r="AR32" s="481"/>
      <c r="AS32" s="393"/>
      <c r="AT32" s="483"/>
      <c r="AW32">
        <f t="shared" si="45"/>
        <v>0</v>
      </c>
      <c r="AX32" t="str">
        <f t="shared" si="33"/>
        <v/>
      </c>
      <c r="AY32" s="132"/>
      <c r="BA32" s="513" t="str">
        <f>IF(団体情報・入力の仕方!$C$3&lt;&gt;"大田区大会","",IF(AW32=0,"",IF(I32&gt;=18,"○","")))</f>
        <v/>
      </c>
      <c r="BB32" s="53" t="str">
        <f>IF($AW32=0,"",IF(AND($I32&gt;=6,$I32&lt;=19),VLOOKUP($I32,参照データ!$B$24:$C$37,2,0),IF($I32&lt;6,6,19)))</f>
        <v/>
      </c>
      <c r="BC32" s="155" t="str">
        <f>IF($J32="○",VLOOKUP($BB32,参照データ!$C$24:$I$37,2,0),"")</f>
        <v/>
      </c>
      <c r="BD32" s="146" t="str">
        <f>IF($K32="○",VLOOKUP($BB32,参照データ!$C$24:$I$37,3,0),"")</f>
        <v/>
      </c>
      <c r="BE32" s="146" t="str">
        <f>IF($L32="○",VLOOKUP($BB32,参照データ!$C$24:$I$37,4,0),"")</f>
        <v/>
      </c>
      <c r="BF32" s="146" t="str">
        <f>IF($M32="○",VLOOKUP($BB32,参照データ!$C$24:$I$37,5,0),"")</f>
        <v/>
      </c>
      <c r="BG32" s="146" t="str">
        <f>IF($N32="20日",VLOOKUP($BB32,参照データ!$C$24:$I$37,6,0),"")</f>
        <v/>
      </c>
      <c r="BH32" s="156" t="str">
        <f>IF($O32="20日",VLOOKUP($BB32,参照データ!$C$24:$I$37,7,0),"")</f>
        <v/>
      </c>
      <c r="BI32" s="155" t="str">
        <f>IF($J32="21日",VLOOKUP($BB32,参照データ!$C$24:$I$37,2,0),"")</f>
        <v/>
      </c>
      <c r="BJ32" s="146" t="str">
        <f>IF($K32="21日",VLOOKUP($BB32,参照データ!$C$24:$I$37,3,0),"")</f>
        <v/>
      </c>
      <c r="BK32" s="146" t="str">
        <f>IF($L32="21日",VLOOKUP($BB32,参照データ!$C$24:$I$37,4,0),"")</f>
        <v/>
      </c>
      <c r="BL32" s="146" t="str">
        <f>IF($M32="21日",VLOOKUP($BB32,参照データ!$C$24:$I$37,5,0),"")</f>
        <v/>
      </c>
      <c r="BM32" s="146" t="str">
        <f>IF($N32="21日",VLOOKUP($BB32,参照データ!$C$24:$I$37,6,0),"")</f>
        <v/>
      </c>
      <c r="BN32" s="156" t="str">
        <f>IF($O32="21日",VLOOKUP($BB32,参照データ!$C$24:$I$37,7,0),"")</f>
        <v/>
      </c>
      <c r="BO32" s="223" t="str">
        <f t="shared" si="40"/>
        <v/>
      </c>
      <c r="BP32" s="154" t="str">
        <f>IF($R32="入門",VLOOKUP($BB32,参照データ!$C$43:$U$56,2,0),IF($R32="初級",VLOOKUP($BB32,参照データ!$C$43:$U$56,3,0),IF($R32="中級",VLOOKUP($BB32,参照データ!$C$43:$U$56,4,0),IF($R32="上級",VLOOKUP($BB32,参照データ!$C$43:$U$56,5,0),""))))</f>
        <v/>
      </c>
      <c r="BQ32" s="154" t="str">
        <f>IF($S32="初級",VLOOKUP($BB32,参照データ!$C$43:$U$56,6,0),IF($S32="中級",VLOOKUP($BB32,参照データ!$C$43:$U$56,7,0),IF($S32="上級",VLOOKUP($BB32,参照データ!$C$43:$U$56,8,0),"")))</f>
        <v/>
      </c>
      <c r="BR32" s="154" t="str">
        <f>IF($T32="初級",VLOOKUP($BB32,参照データ!$C$43:$U$56,9,0),IF($T32="上級",VLOOKUP($BB32,参照データ!$C$43:$U$56,10,0),""))</f>
        <v/>
      </c>
      <c r="BS32" s="154" t="str">
        <f>IF($U32="初級",VLOOKUP($BB32,参照データ!$C$43:$U$56,11,0),IF($U32="中級",VLOOKUP($BB32,参照データ!$C$43:$U$56,12,0),IF($U32="上級",VLOOKUP($BB32,参照データ!$C$43:$U$56,13,0),"")))</f>
        <v/>
      </c>
      <c r="BT32" s="154" t="str">
        <f>IF($V32="初級",VLOOKUP($BB32,参照データ!$C$43:$U$56,14,0),IF($V32="中級",VLOOKUP($BB32,参照データ!$C$43:$U$56,15,0),IF($V32="上級",VLOOKUP($BB32,参照データ!$C$43:$U$56,16,0),"")))</f>
        <v/>
      </c>
      <c r="BU32" s="47" t="str">
        <f t="shared" si="4"/>
        <v/>
      </c>
      <c r="BV32" s="47" t="str">
        <f>IF($W32="初級",VLOOKUP($BB32,参照データ!$C$43:$U$56,17,0),IF($W32="中級",VLOOKUP($BB32,参照データ!$C$43:$U$56,18,0),IF($W32="上級",VLOOKUP($BB32,参照データ!$C$43:$U$56,19,0),"")))</f>
        <v/>
      </c>
      <c r="BW32" s="686">
        <v>11</v>
      </c>
      <c r="BX32" s="66" t="s">
        <v>105</v>
      </c>
      <c r="BY32" s="136" t="str">
        <f t="shared" si="11"/>
        <v/>
      </c>
      <c r="BZ32" s="688" t="str">
        <f t="shared" ref="BZ32" si="66">IF(OR($BY32="",$BY33=""),"",IF($BY32&gt;$BY33,$BY32,$BY33))</f>
        <v/>
      </c>
      <c r="CB32" s="53" t="str">
        <f>IF(AND($AW32&gt;=参照データ!$C$67,$AW32&lt;=参照データ!$C$65),1,IF(AND($AW32&gt;=参照データ!$C$70,$AW32&lt;=参照データ!$C$68),2,IF(AND($AW32&gt;=参照データ!$C$73,$AW32&lt;=参照データ!$C$71),3,IF(AND($AW32&gt;=参照データ!$C$76,$AW32&lt;=参照データ!$C$74),4,IF(AND($AW32&gt;=参照データ!$C$79,$AW32&lt;=参照データ!$C$77),5,IF(AND($AW32&gt;0,$AW32&lt;=参照データ!$C$80),6,""))))))</f>
        <v/>
      </c>
      <c r="CC32" s="141" t="str">
        <f>IF($Z32="○",(VLOOKUP($CB32,参照データ!$D$65:$J$82,2,0)),"")</f>
        <v/>
      </c>
      <c r="CD32" s="71" t="str">
        <f t="shared" si="12"/>
        <v/>
      </c>
      <c r="CE32" s="70" t="str">
        <f>IF($AB32="○",(VLOOKUP($CB32,参照データ!$D$65:$J$82,3,0)),"")</f>
        <v/>
      </c>
      <c r="CF32" s="71" t="str">
        <f t="shared" si="13"/>
        <v/>
      </c>
      <c r="CG32" s="70" t="str">
        <f>IF($AD32="○",(VLOOKUP($CB32,参照データ!$D$65:$J$82,4,0)),"")</f>
        <v/>
      </c>
      <c r="CH32" s="71" t="str">
        <f t="shared" si="14"/>
        <v/>
      </c>
      <c r="CI32" s="70" t="str">
        <f>IF($AF32="○",(VLOOKUP($CB32,参照データ!$D$65:$J$82,5,0)),"")</f>
        <v/>
      </c>
      <c r="CJ32" s="71" t="str">
        <f t="shared" si="5"/>
        <v/>
      </c>
      <c r="CK32" s="70" t="str">
        <f>IF($AH32="○",(VLOOKUP($CB32,参照データ!$D$65:$J$82,6,0)),"")</f>
        <v/>
      </c>
      <c r="CL32" s="71" t="str">
        <f t="shared" si="15"/>
        <v/>
      </c>
      <c r="CM32" s="33" t="str">
        <f t="shared" si="16"/>
        <v/>
      </c>
      <c r="CN32" s="32" t="str">
        <f t="shared" si="17"/>
        <v/>
      </c>
      <c r="CO32" s="71" t="str">
        <f t="shared" si="18"/>
        <v/>
      </c>
      <c r="CP32" s="681">
        <v>11</v>
      </c>
      <c r="CQ32" s="79" t="s">
        <v>105</v>
      </c>
      <c r="CR32" s="80" t="str">
        <f t="shared" si="19"/>
        <v/>
      </c>
      <c r="CS32" s="683" t="e">
        <f>IF($CR32&gt;$CR33,VLOOKUP($CR32,参照データ!$D$65:$J$82,7,0),VLOOKUP($CR33,参照データ!$D$65:$J$82,7,0))</f>
        <v>#N/A</v>
      </c>
      <c r="CT32" s="308" t="str">
        <f>IFERROR(VLOOKUP($CS32,参照データ!$J$65:$M$82,4,0),"")</f>
        <v/>
      </c>
      <c r="CU32" s="70"/>
      <c r="CV32" s="172" t="str">
        <f t="shared" si="20"/>
        <v/>
      </c>
      <c r="CX32" s="32"/>
      <c r="CY32" s="161" t="str">
        <f t="shared" si="21"/>
        <v/>
      </c>
      <c r="CZ32" s="743">
        <v>11</v>
      </c>
      <c r="DA32" s="166" t="s">
        <v>105</v>
      </c>
      <c r="DB32" s="167" t="str">
        <f t="shared" si="42"/>
        <v/>
      </c>
      <c r="DC32" s="741" t="str">
        <f>IF(OR(DB32="",DB33=""),"",IF(DB32&gt;DB33,DB32,DB33))</f>
        <v/>
      </c>
      <c r="DD32" t="str">
        <f>IF($DE32="","",DATEDIF($AW32,参照データ!$D$19,"Y"))</f>
        <v/>
      </c>
      <c r="DE32" s="253" t="str">
        <f>IFERROR(IF($AX32="男子",VLOOKUP($DL32,参照データ!$D$88:$E$117,2,0),$DL32),0)</f>
        <v/>
      </c>
      <c r="DF32" s="84" t="str">
        <f>IF($Z32="選手権",(VLOOKUP($DE32,参照データ!$D$88:$K$117,3,0)),"")</f>
        <v/>
      </c>
      <c r="DG32" s="85" t="str">
        <f t="shared" si="6"/>
        <v/>
      </c>
      <c r="DH32" s="84" t="str">
        <f>IF($AB32="選手権",(VLOOKUP($DE32,参照データ!$D$88:$K$117,4,0)),"")</f>
        <v/>
      </c>
      <c r="DI32" s="85" t="str">
        <f t="shared" si="7"/>
        <v/>
      </c>
      <c r="DJ32" s="84" t="str">
        <f>IF($AD32="選手権",(VLOOKUP($DE32,参照データ!$D$88:$K$117,5,0)),"")</f>
        <v/>
      </c>
      <c r="DK32" s="85" t="str">
        <f t="shared" si="8"/>
        <v/>
      </c>
      <c r="DL32" s="53" t="str">
        <f>IF(AND($AW32&gt;=参照データ!$C$90,$AW32&lt;=参照データ!$C$88),1,IF(AND($AW32&gt;=参照データ!$C$93,$AW32&lt;=参照データ!$C$91),2,IF(AND($AW32&gt;=参照データ!$C$99,$AW32&lt;=参照データ!$C$97),3,IF(AND($AW32&gt;=参照データ!$C$105,$AW32&lt;=参照データ!$C$103),4,IF(AND($AW32&gt;=参照データ!$C$111,$AW32&lt;=参照データ!$C$109),5,IF(AND($AW32&gt;0,$AW32&lt;=参照データ!$C$112),6,""))))))</f>
        <v/>
      </c>
      <c r="DM32" s="84" t="str">
        <f>IF($AF32="選手権",(VLOOKUP($DL32,参照データ!$D$88:$K$117,6,0)),"")</f>
        <v/>
      </c>
      <c r="DN32" s="85" t="str">
        <f t="shared" si="9"/>
        <v/>
      </c>
      <c r="DO32" s="84" t="str">
        <f>IF($AH32="選手権",(VLOOKUP($DL32,参照データ!$D$88:$K$117,7,0)),"")</f>
        <v/>
      </c>
      <c r="DP32" s="85" t="str">
        <f t="shared" si="22"/>
        <v/>
      </c>
      <c r="DQ32" s="33" t="str">
        <f t="shared" si="23"/>
        <v/>
      </c>
      <c r="DR32" s="32" t="str">
        <f t="shared" si="24"/>
        <v/>
      </c>
      <c r="DS32" s="85" t="str">
        <f t="shared" si="25"/>
        <v/>
      </c>
      <c r="DT32" s="736">
        <v>11</v>
      </c>
      <c r="DU32" s="93" t="s">
        <v>105</v>
      </c>
      <c r="DV32" s="94" t="str">
        <f t="shared" si="35"/>
        <v/>
      </c>
      <c r="DW32" s="737" t="e">
        <f>IF($DV32&gt;$DV33,VLOOKUP($DV32,参照データ!$D$88:$K$117,8,0),VLOOKUP($DV33,参照データ!$D$88:$K$117,8,0))</f>
        <v>#N/A</v>
      </c>
      <c r="DX32" s="312" t="str">
        <f t="shared" ref="DX32" si="67">$DX31</f>
        <v/>
      </c>
      <c r="DZ32" s="491" t="str">
        <f t="shared" si="26"/>
        <v/>
      </c>
      <c r="EE32" s="35">
        <f>(COUNTIF($J32:$O32,"&lt;&gt;"))*参照データ!$E$3</f>
        <v>0</v>
      </c>
      <c r="EF32" s="219" t="str">
        <f>IF($Y32="○",参照データ!$E$4,"")</f>
        <v/>
      </c>
      <c r="EG32" s="18">
        <f>(SUM(COUNTIF($R32:$V32,{"入門","初級"}))*参照データ!$E$9)+(SUM(COUNTIF($R32:$V32,{"中級","上級"})*参照データ!$E$10))</f>
        <v>0</v>
      </c>
      <c r="EH32" s="18">
        <f>IFERROR(VLOOKUP($W32,参照データ!$D$9:$J$11,7,0),0)</f>
        <v>0</v>
      </c>
      <c r="EI32" s="18">
        <f>((COUNTIF($Z32:$AH32,"○"))*参照データ!$E$12)</f>
        <v>0</v>
      </c>
      <c r="EJ32" s="18" t="str">
        <f>(IF($AJ32="○",参照データ!$J$12,""))</f>
        <v/>
      </c>
      <c r="EM32" s="18">
        <f>((COUNTIF($Z32:$AH32,"選手権"))*参照データ!$E$13)</f>
        <v>0</v>
      </c>
      <c r="EN32" s="18" t="str">
        <f>(IF($AJ32="選手権",参照データ!$J$13,""))</f>
        <v/>
      </c>
      <c r="EO32" s="18">
        <f>(COUNTIF($AQ32:$AR32,"&lt;&gt;"))*参照データ!$H$3</f>
        <v>0</v>
      </c>
      <c r="EP32" s="18"/>
      <c r="EQ32" s="98">
        <f t="array" ref="EQ32">SUM(IF(ISERROR(EE32:EN32),0,(EE32:EN32)))</f>
        <v>0</v>
      </c>
      <c r="ER32" s="18"/>
      <c r="ES32" s="18">
        <f t="shared" si="10"/>
        <v>0</v>
      </c>
      <c r="ET32" s="18">
        <f t="shared" si="36"/>
        <v>0</v>
      </c>
      <c r="EU32" s="18">
        <f t="shared" si="27"/>
        <v>0</v>
      </c>
      <c r="EV32" s="18">
        <f t="shared" si="28"/>
        <v>0</v>
      </c>
      <c r="EW32" s="18">
        <f t="shared" si="29"/>
        <v>0</v>
      </c>
      <c r="EX32" s="18">
        <f t="shared" si="30"/>
        <v>0</v>
      </c>
      <c r="EY32" t="str">
        <f t="shared" si="31"/>
        <v/>
      </c>
    </row>
    <row r="33" spans="1:155" ht="18.75" customHeight="1" x14ac:dyDescent="0.2">
      <c r="A33">
        <v>22</v>
      </c>
      <c r="B33" s="14" t="str">
        <f>IF(D33="","",IF(D33="重複","",COUNTIF(B$12:$B32,"&gt;0")+1))</f>
        <v/>
      </c>
      <c r="C33" s="464"/>
      <c r="D33" s="177"/>
      <c r="E33" s="177"/>
      <c r="F33" s="31"/>
      <c r="G33" s="41"/>
      <c r="H33" s="351">
        <f t="shared" si="32"/>
        <v>0</v>
      </c>
      <c r="I33" s="193" t="str">
        <f>IF($AW33=0,"",DATEDIF($AW33,参照データ!$D$16,"Y"))</f>
        <v/>
      </c>
      <c r="J33" s="517"/>
      <c r="K33" s="517"/>
      <c r="L33" s="517"/>
      <c r="M33" s="517"/>
      <c r="N33" s="517"/>
      <c r="O33" s="518"/>
      <c r="P33" s="345"/>
      <c r="Q33" s="345"/>
      <c r="R33" s="519"/>
      <c r="S33" s="244"/>
      <c r="T33" s="244"/>
      <c r="U33" s="244"/>
      <c r="V33" s="245"/>
      <c r="W33" s="248"/>
      <c r="X33" s="250"/>
      <c r="Y33" s="345"/>
      <c r="Z33" s="388"/>
      <c r="AA33" s="346" t="str">
        <f>IF($Z33="○",VLOOKUP($CB33,参照データ!$D$65:$M$82,9,0),IF($Z33="選手権",VLOOKUP($DE33,参照データ!$D$88:$O$117,10,0),""))</f>
        <v/>
      </c>
      <c r="AB33" s="388"/>
      <c r="AC33" s="346" t="str">
        <f>IF($AB33="○",VLOOKUP($CB33,参照データ!$D$65:$M$82,10,0),IF($AB33="選手権",VLOOKUP($DE33,参照データ!$D$88:$O$117,11,0),""))</f>
        <v/>
      </c>
      <c r="AD33" s="388"/>
      <c r="AE33" s="346" t="str">
        <f>IF($AD33="○",VLOOKUP($CB33,参照データ!$D$65:$M$82,10,0),IF($AD33="選手権",VLOOKUP($DE33,参照データ!$D$88:$O$117,11,0),""))</f>
        <v/>
      </c>
      <c r="AF33" s="388"/>
      <c r="AG33" s="346" t="str">
        <f>IF($AF33="○",VLOOKUP($CB33,参照データ!$D$65:$M$82,10,0),IF($AF33="選手権",VLOOKUP($DL33,参照データ!$D$88:$O$117,12,0),""))</f>
        <v/>
      </c>
      <c r="AH33" s="388"/>
      <c r="AI33" s="346" t="str">
        <f>IF($AH33="○",VLOOKUP($CB33,参照データ!$D$65:$M$82,10,0),IF($AH33="選手権",VLOOKUP($DL33,参照データ!$D$88:$O$117,12,0),""))</f>
        <v/>
      </c>
      <c r="AJ33" s="388"/>
      <c r="AK33" s="511"/>
      <c r="AL33" s="346" t="str">
        <f t="shared" si="3"/>
        <v/>
      </c>
      <c r="AM33" s="392"/>
      <c r="AN33" s="391"/>
      <c r="AO33" s="391"/>
      <c r="AP33" s="447"/>
      <c r="AQ33" s="321"/>
      <c r="AR33" s="481"/>
      <c r="AS33" s="393"/>
      <c r="AT33" s="483"/>
      <c r="AW33">
        <f t="shared" si="45"/>
        <v>0</v>
      </c>
      <c r="AX33" t="str">
        <f t="shared" si="33"/>
        <v/>
      </c>
      <c r="AY33" s="132"/>
      <c r="BA33" s="513" t="str">
        <f>IF(団体情報・入力の仕方!$C$3&lt;&gt;"大田区大会","",IF(AW33=0,"",IF(I33&gt;=18,"○","")))</f>
        <v/>
      </c>
      <c r="BB33" s="53" t="str">
        <f>IF($AW33=0,"",IF(AND($I33&gt;=6,$I33&lt;=19),VLOOKUP($I33,参照データ!$B$24:$C$37,2,0),IF($I33&lt;6,6,19)))</f>
        <v/>
      </c>
      <c r="BC33" s="155" t="str">
        <f>IF($J33="○",VLOOKUP($BB33,参照データ!$C$24:$I$37,2,0),"")</f>
        <v/>
      </c>
      <c r="BD33" s="146" t="str">
        <f>IF($K33="○",VLOOKUP($BB33,参照データ!$C$24:$I$37,3,0),"")</f>
        <v/>
      </c>
      <c r="BE33" s="146" t="str">
        <f>IF($L33="○",VLOOKUP($BB33,参照データ!$C$24:$I$37,4,0),"")</f>
        <v/>
      </c>
      <c r="BF33" s="146" t="str">
        <f>IF($M33="○",VLOOKUP($BB33,参照データ!$C$24:$I$37,5,0),"")</f>
        <v/>
      </c>
      <c r="BG33" s="146" t="str">
        <f>IF($N33="20日",VLOOKUP($BB33,参照データ!$C$24:$I$37,6,0),"")</f>
        <v/>
      </c>
      <c r="BH33" s="156" t="str">
        <f>IF($O33="20日",VLOOKUP($BB33,参照データ!$C$24:$I$37,7,0),"")</f>
        <v/>
      </c>
      <c r="BI33" s="155" t="str">
        <f>IF($J33="21日",VLOOKUP($BB33,参照データ!$C$24:$I$37,2,0),"")</f>
        <v/>
      </c>
      <c r="BJ33" s="146" t="str">
        <f>IF($K33="21日",VLOOKUP($BB33,参照データ!$C$24:$I$37,3,0),"")</f>
        <v/>
      </c>
      <c r="BK33" s="146" t="str">
        <f>IF($L33="21日",VLOOKUP($BB33,参照データ!$C$24:$I$37,4,0),"")</f>
        <v/>
      </c>
      <c r="BL33" s="146" t="str">
        <f>IF($M33="21日",VLOOKUP($BB33,参照データ!$C$24:$I$37,5,0),"")</f>
        <v/>
      </c>
      <c r="BM33" s="146" t="str">
        <f>IF($N33="21日",VLOOKUP($BB33,参照データ!$C$24:$I$37,6,0),"")</f>
        <v/>
      </c>
      <c r="BN33" s="156" t="str">
        <f>IF($O33="21日",VLOOKUP($BB33,参照データ!$C$24:$I$37,7,0),"")</f>
        <v/>
      </c>
      <c r="BO33" s="223" t="str">
        <f t="shared" si="40"/>
        <v/>
      </c>
      <c r="BP33" s="154" t="str">
        <f>IF($R33="入門",VLOOKUP($BB33,参照データ!$C$43:$U$56,2,0),IF($R33="初級",VLOOKUP($BB33,参照データ!$C$43:$U$56,3,0),IF($R33="中級",VLOOKUP($BB33,参照データ!$C$43:$U$56,4,0),IF($R33="上級",VLOOKUP($BB33,参照データ!$C$43:$U$56,5,0),""))))</f>
        <v/>
      </c>
      <c r="BQ33" s="154" t="str">
        <f>IF($S33="初級",VLOOKUP($BB33,参照データ!$C$43:$U$56,6,0),IF($S33="中級",VLOOKUP($BB33,参照データ!$C$43:$U$56,7,0),IF($S33="上級",VLOOKUP($BB33,参照データ!$C$43:$U$56,8,0),"")))</f>
        <v/>
      </c>
      <c r="BR33" s="154" t="str">
        <f>IF($T33="初級",VLOOKUP($BB33,参照データ!$C$43:$U$56,9,0),IF($T33="上級",VLOOKUP($BB33,参照データ!$C$43:$U$56,10,0),""))</f>
        <v/>
      </c>
      <c r="BS33" s="154" t="str">
        <f>IF($U33="初級",VLOOKUP($BB33,参照データ!$C$43:$U$56,11,0),IF($U33="中級",VLOOKUP($BB33,参照データ!$C$43:$U$56,12,0),IF($U33="上級",VLOOKUP($BB33,参照データ!$C$43:$U$56,13,0),"")))</f>
        <v/>
      </c>
      <c r="BT33" s="154" t="str">
        <f>IF($V33="初級",VLOOKUP($BB33,参照データ!$C$43:$U$56,14,0),IF($V33="中級",VLOOKUP($BB33,参照データ!$C$43:$U$56,15,0),IF($V33="上級",VLOOKUP($BB33,参照データ!$C$43:$U$56,16,0),"")))</f>
        <v/>
      </c>
      <c r="BU33" s="47" t="str">
        <f t="shared" si="4"/>
        <v/>
      </c>
      <c r="BV33" s="47" t="str">
        <f>IF($W33="初級",VLOOKUP($BB33,参照データ!$C$43:$U$56,17,0),IF($W33="中級",VLOOKUP($BB33,参照データ!$C$43:$U$56,18,0),IF($W33="上級",VLOOKUP($BB33,参照データ!$C$43:$U$56,19,0),"")))</f>
        <v/>
      </c>
      <c r="BW33" s="687"/>
      <c r="BX33" s="65" t="s">
        <v>106</v>
      </c>
      <c r="BY33" s="135" t="str">
        <f t="shared" si="11"/>
        <v/>
      </c>
      <c r="BZ33" s="689"/>
      <c r="CB33" s="53" t="str">
        <f>IF(AND($AW33&gt;=参照データ!$C$67,$AW33&lt;=参照データ!$C$65),1,IF(AND($AW33&gt;=参照データ!$C$70,$AW33&lt;=参照データ!$C$68),2,IF(AND($AW33&gt;=参照データ!$C$73,$AW33&lt;=参照データ!$C$71),3,IF(AND($AW33&gt;=参照データ!$C$76,$AW33&lt;=参照データ!$C$74),4,IF(AND($AW33&gt;=参照データ!$C$79,$AW33&lt;=参照データ!$C$77),5,IF(AND($AW33&gt;0,$AW33&lt;=参照データ!$C$80),6,""))))))</f>
        <v/>
      </c>
      <c r="CC33" s="141" t="str">
        <f>IF($Z33="○",(VLOOKUP($CB33,参照データ!$D$65:$J$82,2,0)),"")</f>
        <v/>
      </c>
      <c r="CD33" s="71" t="str">
        <f t="shared" si="12"/>
        <v/>
      </c>
      <c r="CE33" s="70" t="str">
        <f>IF($AB33="○",(VLOOKUP($CB33,参照データ!$D$65:$J$82,3,0)),"")</f>
        <v/>
      </c>
      <c r="CF33" s="71" t="str">
        <f t="shared" si="13"/>
        <v/>
      </c>
      <c r="CG33" s="70" t="str">
        <f>IF($AD33="○",(VLOOKUP($CB33,参照データ!$D$65:$J$82,4,0)),"")</f>
        <v/>
      </c>
      <c r="CH33" s="71" t="str">
        <f t="shared" si="14"/>
        <v/>
      </c>
      <c r="CI33" s="70" t="str">
        <f>IF($AF33="○",(VLOOKUP($CB33,参照データ!$D$65:$J$82,5,0)),"")</f>
        <v/>
      </c>
      <c r="CJ33" s="71" t="str">
        <f t="shared" si="5"/>
        <v/>
      </c>
      <c r="CK33" s="70" t="str">
        <f>IF($AH33="○",(VLOOKUP($CB33,参照データ!$D$65:$J$82,6,0)),"")</f>
        <v/>
      </c>
      <c r="CL33" s="71" t="str">
        <f t="shared" si="15"/>
        <v/>
      </c>
      <c r="CM33" s="33" t="str">
        <f t="shared" si="16"/>
        <v/>
      </c>
      <c r="CN33" s="32" t="str">
        <f t="shared" si="17"/>
        <v/>
      </c>
      <c r="CO33" s="71" t="str">
        <f t="shared" si="18"/>
        <v/>
      </c>
      <c r="CP33" s="682"/>
      <c r="CQ33" s="77" t="s">
        <v>106</v>
      </c>
      <c r="CR33" s="78" t="str">
        <f t="shared" si="19"/>
        <v/>
      </c>
      <c r="CS33" s="684"/>
      <c r="CT33" s="308" t="str">
        <f t="shared" ref="CT33" si="68">$CT32</f>
        <v/>
      </c>
      <c r="CU33" s="70"/>
      <c r="CV33" s="172" t="str">
        <f t="shared" si="20"/>
        <v/>
      </c>
      <c r="CX33" s="32"/>
      <c r="CY33" s="161" t="str">
        <f t="shared" si="21"/>
        <v/>
      </c>
      <c r="CZ33" s="744"/>
      <c r="DA33" s="164" t="s">
        <v>106</v>
      </c>
      <c r="DB33" s="165" t="str">
        <f t="shared" si="42"/>
        <v/>
      </c>
      <c r="DC33" s="742"/>
      <c r="DD33" t="str">
        <f>IF($DE33="","",DATEDIF($AW33,参照データ!$D$19,"Y"))</f>
        <v/>
      </c>
      <c r="DE33" s="253" t="str">
        <f>IFERROR(IF($AX33="男子",VLOOKUP($DL33,参照データ!$D$88:$E$117,2,0),$DL33),0)</f>
        <v/>
      </c>
      <c r="DF33" s="84" t="str">
        <f>IF($Z33="選手権",(VLOOKUP($DE33,参照データ!$D$88:$K$117,3,0)),"")</f>
        <v/>
      </c>
      <c r="DG33" s="85" t="str">
        <f t="shared" si="6"/>
        <v/>
      </c>
      <c r="DH33" s="84" t="str">
        <f>IF($AB33="選手権",(VLOOKUP($DE33,参照データ!$D$88:$K$117,4,0)),"")</f>
        <v/>
      </c>
      <c r="DI33" s="85" t="str">
        <f t="shared" si="7"/>
        <v/>
      </c>
      <c r="DJ33" s="84" t="str">
        <f>IF($AD33="選手権",(VLOOKUP($DE33,参照データ!$D$88:$K$117,5,0)),"")</f>
        <v/>
      </c>
      <c r="DK33" s="85" t="str">
        <f t="shared" si="8"/>
        <v/>
      </c>
      <c r="DL33" s="53" t="str">
        <f>IF(AND($AW33&gt;=参照データ!$C$90,$AW33&lt;=参照データ!$C$88),1,IF(AND($AW33&gt;=参照データ!$C$93,$AW33&lt;=参照データ!$C$91),2,IF(AND($AW33&gt;=参照データ!$C$99,$AW33&lt;=参照データ!$C$97),3,IF(AND($AW33&gt;=参照データ!$C$105,$AW33&lt;=参照データ!$C$103),4,IF(AND($AW33&gt;=参照データ!$C$111,$AW33&lt;=参照データ!$C$109),5,IF(AND($AW33&gt;0,$AW33&lt;=参照データ!$C$112),6,""))))))</f>
        <v/>
      </c>
      <c r="DM33" s="84" t="str">
        <f>IF($AF33="選手権",(VLOOKUP($DL33,参照データ!$D$88:$K$117,6,0)),"")</f>
        <v/>
      </c>
      <c r="DN33" s="85" t="str">
        <f t="shared" si="9"/>
        <v/>
      </c>
      <c r="DO33" s="84" t="str">
        <f>IF($AH33="選手権",(VLOOKUP($DL33,参照データ!$D$88:$K$117,7,0)),"")</f>
        <v/>
      </c>
      <c r="DP33" s="85" t="str">
        <f t="shared" si="22"/>
        <v/>
      </c>
      <c r="DQ33" s="33" t="str">
        <f t="shared" si="23"/>
        <v/>
      </c>
      <c r="DR33" s="32" t="str">
        <f t="shared" si="24"/>
        <v/>
      </c>
      <c r="DS33" s="85" t="str">
        <f t="shared" si="25"/>
        <v/>
      </c>
      <c r="DT33" s="733"/>
      <c r="DU33" s="91" t="s">
        <v>106</v>
      </c>
      <c r="DV33" s="92" t="str">
        <f t="shared" si="35"/>
        <v/>
      </c>
      <c r="DW33" s="735"/>
      <c r="DX33" s="312" t="str">
        <f>IFERROR(VLOOKUP($DW33,参照データ!$K$88:$O$117,5,0),"")</f>
        <v/>
      </c>
      <c r="DZ33" s="491" t="str">
        <f t="shared" si="26"/>
        <v/>
      </c>
      <c r="EE33" s="35">
        <f>(COUNTIF($J33:$O33,"&lt;&gt;"))*参照データ!$E$3</f>
        <v>0</v>
      </c>
      <c r="EF33" s="219" t="str">
        <f>IF($Y33="○",参照データ!$E$4,"")</f>
        <v/>
      </c>
      <c r="EG33" s="18">
        <f>(SUM(COUNTIF($R33:$V33,{"入門","初級"}))*参照データ!$E$9)+(SUM(COUNTIF($R33:$V33,{"中級","上級"})*参照データ!$E$10))</f>
        <v>0</v>
      </c>
      <c r="EH33" s="18">
        <f>IFERROR(VLOOKUP($W33,参照データ!$D$9:$J$11,7,0),0)</f>
        <v>0</v>
      </c>
      <c r="EI33" s="18">
        <f>((COUNTIF($Z33:$AH33,"○"))*参照データ!$E$12)</f>
        <v>0</v>
      </c>
      <c r="EJ33" s="18" t="str">
        <f>(IF($AJ33="○",参照データ!$J$12,""))</f>
        <v/>
      </c>
      <c r="EM33" s="18">
        <f>((COUNTIF($Z33:$AH33,"選手権"))*参照データ!$E$13)</f>
        <v>0</v>
      </c>
      <c r="EN33" s="18" t="str">
        <f>(IF($AJ33="選手権",参照データ!$J$13,""))</f>
        <v/>
      </c>
      <c r="EO33" s="18">
        <f>(COUNTIF($AQ33:$AR33,"&lt;&gt;"))*参照データ!$H$3</f>
        <v>0</v>
      </c>
      <c r="EP33" s="18"/>
      <c r="EQ33" s="98">
        <f t="array" ref="EQ33">SUM(IF(ISERROR(EE33:EN33),0,(EE33:EN33)))</f>
        <v>0</v>
      </c>
      <c r="ER33" s="18"/>
      <c r="ES33" s="18">
        <f t="shared" si="10"/>
        <v>0</v>
      </c>
      <c r="ET33" s="18">
        <f t="shared" si="36"/>
        <v>0</v>
      </c>
      <c r="EU33" s="18">
        <f t="shared" si="27"/>
        <v>0</v>
      </c>
      <c r="EV33" s="18">
        <f t="shared" si="28"/>
        <v>0</v>
      </c>
      <c r="EW33" s="18">
        <f t="shared" si="29"/>
        <v>0</v>
      </c>
      <c r="EX33" s="18">
        <f t="shared" si="30"/>
        <v>0</v>
      </c>
      <c r="EY33" t="str">
        <f t="shared" si="31"/>
        <v/>
      </c>
    </row>
    <row r="34" spans="1:155" ht="18.75" customHeight="1" x14ac:dyDescent="0.2">
      <c r="A34">
        <v>23</v>
      </c>
      <c r="B34" s="14" t="str">
        <f>IF(D34="","",IF(D34="重複","",COUNTIF(B$12:$B33,"&gt;0")+1))</f>
        <v/>
      </c>
      <c r="C34" s="464"/>
      <c r="D34" s="177"/>
      <c r="E34" s="177"/>
      <c r="F34" s="31"/>
      <c r="G34" s="41"/>
      <c r="H34" s="351">
        <f t="shared" si="32"/>
        <v>0</v>
      </c>
      <c r="I34" s="193" t="str">
        <f>IF($AW34=0,"",DATEDIF($AW34,参照データ!$D$16,"Y"))</f>
        <v/>
      </c>
      <c r="J34" s="517"/>
      <c r="K34" s="517"/>
      <c r="L34" s="517"/>
      <c r="M34" s="517"/>
      <c r="N34" s="517"/>
      <c r="O34" s="518"/>
      <c r="P34" s="345"/>
      <c r="Q34" s="345"/>
      <c r="R34" s="519"/>
      <c r="S34" s="244"/>
      <c r="T34" s="244"/>
      <c r="U34" s="244"/>
      <c r="V34" s="245"/>
      <c r="W34" s="248"/>
      <c r="X34" s="250"/>
      <c r="Y34" s="345"/>
      <c r="Z34" s="388"/>
      <c r="AA34" s="346" t="str">
        <f>IF($Z34="○",VLOOKUP($CB34,参照データ!$D$65:$M$82,9,0),IF($Z34="選手権",VLOOKUP($DE34,参照データ!$D$88:$O$117,10,0),""))</f>
        <v/>
      </c>
      <c r="AB34" s="388"/>
      <c r="AC34" s="346" t="str">
        <f>IF($AB34="○",VLOOKUP($CB34,参照データ!$D$65:$M$82,10,0),IF($AB34="選手権",VLOOKUP($DE34,参照データ!$D$88:$O$117,11,0),""))</f>
        <v/>
      </c>
      <c r="AD34" s="388"/>
      <c r="AE34" s="346" t="str">
        <f>IF($AD34="○",VLOOKUP($CB34,参照データ!$D$65:$M$82,10,0),IF($AD34="選手権",VLOOKUP($DE34,参照データ!$D$88:$O$117,11,0),""))</f>
        <v/>
      </c>
      <c r="AF34" s="388"/>
      <c r="AG34" s="346" t="str">
        <f>IF($AF34="○",VLOOKUP($CB34,参照データ!$D$65:$M$82,10,0),IF($AF34="選手権",VLOOKUP($DL34,参照データ!$D$88:$O$117,12,0),""))</f>
        <v/>
      </c>
      <c r="AH34" s="388"/>
      <c r="AI34" s="346" t="str">
        <f>IF($AH34="○",VLOOKUP($CB34,参照データ!$D$65:$M$82,10,0),IF($AH34="選手権",VLOOKUP($DL34,参照データ!$D$88:$O$117,12,0),""))</f>
        <v/>
      </c>
      <c r="AJ34" s="388"/>
      <c r="AK34" s="511"/>
      <c r="AL34" s="346" t="str">
        <f t="shared" si="3"/>
        <v/>
      </c>
      <c r="AM34" s="392"/>
      <c r="AN34" s="391"/>
      <c r="AO34" s="391"/>
      <c r="AP34" s="447"/>
      <c r="AQ34" s="321"/>
      <c r="AR34" s="481"/>
      <c r="AS34" s="393"/>
      <c r="AT34" s="483"/>
      <c r="AW34">
        <f t="shared" si="45"/>
        <v>0</v>
      </c>
      <c r="AX34" t="str">
        <f t="shared" si="33"/>
        <v/>
      </c>
      <c r="AY34" s="132"/>
      <c r="BA34" s="513" t="str">
        <f>IF(団体情報・入力の仕方!$C$3&lt;&gt;"大田区大会","",IF(AW34=0,"",IF(I34&gt;=18,"○","")))</f>
        <v/>
      </c>
      <c r="BB34" s="53" t="str">
        <f>IF($AW34=0,"",IF(AND($I34&gt;=6,$I34&lt;=19),VLOOKUP($I34,参照データ!$B$24:$C$37,2,0),IF($I34&lt;6,6,19)))</f>
        <v/>
      </c>
      <c r="BC34" s="155" t="str">
        <f>IF($J34="○",VLOOKUP($BB34,参照データ!$C$24:$I$37,2,0),"")</f>
        <v/>
      </c>
      <c r="BD34" s="146" t="str">
        <f>IF($K34="○",VLOOKUP($BB34,参照データ!$C$24:$I$37,3,0),"")</f>
        <v/>
      </c>
      <c r="BE34" s="146" t="str">
        <f>IF($L34="○",VLOOKUP($BB34,参照データ!$C$24:$I$37,4,0),"")</f>
        <v/>
      </c>
      <c r="BF34" s="146" t="str">
        <f>IF($M34="○",VLOOKUP($BB34,参照データ!$C$24:$I$37,5,0),"")</f>
        <v/>
      </c>
      <c r="BG34" s="146" t="str">
        <f>IF($N34="20日",VLOOKUP($BB34,参照データ!$C$24:$I$37,6,0),"")</f>
        <v/>
      </c>
      <c r="BH34" s="156" t="str">
        <f>IF($O34="20日",VLOOKUP($BB34,参照データ!$C$24:$I$37,7,0),"")</f>
        <v/>
      </c>
      <c r="BI34" s="155" t="str">
        <f>IF($J34="21日",VLOOKUP($BB34,参照データ!$C$24:$I$37,2,0),"")</f>
        <v/>
      </c>
      <c r="BJ34" s="146" t="str">
        <f>IF($K34="21日",VLOOKUP($BB34,参照データ!$C$24:$I$37,3,0),"")</f>
        <v/>
      </c>
      <c r="BK34" s="146" t="str">
        <f>IF($L34="21日",VLOOKUP($BB34,参照データ!$C$24:$I$37,4,0),"")</f>
        <v/>
      </c>
      <c r="BL34" s="146" t="str">
        <f>IF($M34="21日",VLOOKUP($BB34,参照データ!$C$24:$I$37,5,0),"")</f>
        <v/>
      </c>
      <c r="BM34" s="146" t="str">
        <f>IF($N34="21日",VLOOKUP($BB34,参照データ!$C$24:$I$37,6,0),"")</f>
        <v/>
      </c>
      <c r="BN34" s="156" t="str">
        <f>IF($O34="21日",VLOOKUP($BB34,参照データ!$C$24:$I$37,7,0),"")</f>
        <v/>
      </c>
      <c r="BO34" s="223" t="str">
        <f t="shared" si="40"/>
        <v/>
      </c>
      <c r="BP34" s="154" t="str">
        <f>IF($R34="入門",VLOOKUP($BB34,参照データ!$C$43:$U$56,2,0),IF($R34="初級",VLOOKUP($BB34,参照データ!$C$43:$U$56,3,0),IF($R34="中級",VLOOKUP($BB34,参照データ!$C$43:$U$56,4,0),IF($R34="上級",VLOOKUP($BB34,参照データ!$C$43:$U$56,5,0),""))))</f>
        <v/>
      </c>
      <c r="BQ34" s="154" t="str">
        <f>IF($S34="初級",VLOOKUP($BB34,参照データ!$C$43:$U$56,6,0),IF($S34="中級",VLOOKUP($BB34,参照データ!$C$43:$U$56,7,0),IF($S34="上級",VLOOKUP($BB34,参照データ!$C$43:$U$56,8,0),"")))</f>
        <v/>
      </c>
      <c r="BR34" s="154" t="str">
        <f>IF($T34="初級",VLOOKUP($BB34,参照データ!$C$43:$U$56,9,0),IF($T34="上級",VLOOKUP($BB34,参照データ!$C$43:$U$56,10,0),""))</f>
        <v/>
      </c>
      <c r="BS34" s="154" t="str">
        <f>IF($U34="初級",VLOOKUP($BB34,参照データ!$C$43:$U$56,11,0),IF($U34="中級",VLOOKUP($BB34,参照データ!$C$43:$U$56,12,0),IF($U34="上級",VLOOKUP($BB34,参照データ!$C$43:$U$56,13,0),"")))</f>
        <v/>
      </c>
      <c r="BT34" s="154" t="str">
        <f>IF($V34="初級",VLOOKUP($BB34,参照データ!$C$43:$U$56,14,0),IF($V34="中級",VLOOKUP($BB34,参照データ!$C$43:$U$56,15,0),IF($V34="上級",VLOOKUP($BB34,参照データ!$C$43:$U$56,16,0),"")))</f>
        <v/>
      </c>
      <c r="BU34" s="47" t="str">
        <f t="shared" si="4"/>
        <v/>
      </c>
      <c r="BV34" s="47" t="str">
        <f>IF($W34="初級",VLOOKUP($BB34,参照データ!$C$43:$U$56,17,0),IF($W34="中級",VLOOKUP($BB34,参照データ!$C$43:$U$56,18,0),IF($W34="上級",VLOOKUP($BB34,参照データ!$C$43:$U$56,19,0),"")))</f>
        <v/>
      </c>
      <c r="BW34" s="686">
        <v>12</v>
      </c>
      <c r="BX34" s="66" t="s">
        <v>107</v>
      </c>
      <c r="BY34" s="136" t="str">
        <f t="shared" si="11"/>
        <v/>
      </c>
      <c r="BZ34" s="688" t="str">
        <f t="shared" ref="BZ34" si="69">IF(OR($BY34="",$BY35=""),"",IF($BY34&gt;$BY35,$BY34,$BY35))</f>
        <v/>
      </c>
      <c r="CB34" s="53" t="str">
        <f>IF(AND($AW34&gt;=参照データ!$C$67,$AW34&lt;=参照データ!$C$65),1,IF(AND($AW34&gt;=参照データ!$C$70,$AW34&lt;=参照データ!$C$68),2,IF(AND($AW34&gt;=参照データ!$C$73,$AW34&lt;=参照データ!$C$71),3,IF(AND($AW34&gt;=参照データ!$C$76,$AW34&lt;=参照データ!$C$74),4,IF(AND($AW34&gt;=参照データ!$C$79,$AW34&lt;=参照データ!$C$77),5,IF(AND($AW34&gt;0,$AW34&lt;=参照データ!$C$80),6,""))))))</f>
        <v/>
      </c>
      <c r="CC34" s="141" t="str">
        <f>IF($Z34="○",(VLOOKUP($CB34,参照データ!$D$65:$J$82,2,0)),"")</f>
        <v/>
      </c>
      <c r="CD34" s="71" t="str">
        <f t="shared" si="12"/>
        <v/>
      </c>
      <c r="CE34" s="70" t="str">
        <f>IF($AB34="○",(VLOOKUP($CB34,参照データ!$D$65:$J$82,3,0)),"")</f>
        <v/>
      </c>
      <c r="CF34" s="71" t="str">
        <f t="shared" si="13"/>
        <v/>
      </c>
      <c r="CG34" s="70" t="str">
        <f>IF($AD34="○",(VLOOKUP($CB34,参照データ!$D$65:$J$82,4,0)),"")</f>
        <v/>
      </c>
      <c r="CH34" s="71" t="str">
        <f t="shared" si="14"/>
        <v/>
      </c>
      <c r="CI34" s="70" t="str">
        <f>IF($AF34="○",(VLOOKUP($CB34,参照データ!$D$65:$J$82,5,0)),"")</f>
        <v/>
      </c>
      <c r="CJ34" s="71" t="str">
        <f t="shared" si="5"/>
        <v/>
      </c>
      <c r="CK34" s="70" t="str">
        <f>IF($AH34="○",(VLOOKUP($CB34,参照データ!$D$65:$J$82,6,0)),"")</f>
        <v/>
      </c>
      <c r="CL34" s="71" t="str">
        <f t="shared" si="15"/>
        <v/>
      </c>
      <c r="CM34" s="33" t="str">
        <f t="shared" si="16"/>
        <v/>
      </c>
      <c r="CN34" s="32" t="str">
        <f t="shared" si="17"/>
        <v/>
      </c>
      <c r="CO34" s="71" t="str">
        <f t="shared" si="18"/>
        <v/>
      </c>
      <c r="CP34" s="681">
        <v>12</v>
      </c>
      <c r="CQ34" s="79" t="s">
        <v>107</v>
      </c>
      <c r="CR34" s="80" t="str">
        <f t="shared" si="19"/>
        <v/>
      </c>
      <c r="CS34" s="683" t="e">
        <f>IF($CR34&gt;$CR35,VLOOKUP($CR34,参照データ!$D$65:$J$82,7,0),VLOOKUP($CR35,参照データ!$D$65:$J$82,7,0))</f>
        <v>#N/A</v>
      </c>
      <c r="CT34" s="308" t="str">
        <f>IFERROR(VLOOKUP($CS34,参照データ!$J$65:$M$82,4,0),"")</f>
        <v/>
      </c>
      <c r="CU34" s="70"/>
      <c r="CV34" s="172" t="str">
        <f t="shared" si="20"/>
        <v/>
      </c>
      <c r="CX34" s="32"/>
      <c r="CY34" s="161" t="str">
        <f t="shared" si="21"/>
        <v/>
      </c>
      <c r="CZ34" s="743">
        <v>12</v>
      </c>
      <c r="DA34" s="166" t="s">
        <v>107</v>
      </c>
      <c r="DB34" s="167" t="str">
        <f t="shared" si="42"/>
        <v/>
      </c>
      <c r="DC34" s="741" t="str">
        <f>IF(OR(DB34="",DB35=""),"",IF(DB34&gt;DB35,DB34,DB35))</f>
        <v/>
      </c>
      <c r="DD34" t="str">
        <f>IF($DE34="","",DATEDIF($AW34,参照データ!$D$19,"Y"))</f>
        <v/>
      </c>
      <c r="DE34" s="253" t="str">
        <f>IFERROR(IF($AX34="男子",VLOOKUP($DL34,参照データ!$D$88:$E$117,2,0),$DL34),0)</f>
        <v/>
      </c>
      <c r="DF34" s="84" t="str">
        <f>IF($Z34="選手権",(VLOOKUP($DE34,参照データ!$D$88:$K$117,3,0)),"")</f>
        <v/>
      </c>
      <c r="DG34" s="85" t="str">
        <f t="shared" si="6"/>
        <v/>
      </c>
      <c r="DH34" s="84" t="str">
        <f>IF($AB34="選手権",(VLOOKUP($DE34,参照データ!$D$88:$K$117,4,0)),"")</f>
        <v/>
      </c>
      <c r="DI34" s="85" t="str">
        <f t="shared" si="7"/>
        <v/>
      </c>
      <c r="DJ34" s="84" t="str">
        <f>IF($AD34="選手権",(VLOOKUP($DE34,参照データ!$D$88:$K$117,5,0)),"")</f>
        <v/>
      </c>
      <c r="DK34" s="85" t="str">
        <f t="shared" si="8"/>
        <v/>
      </c>
      <c r="DL34" s="53" t="str">
        <f>IF(AND($AW34&gt;=参照データ!$C$90,$AW34&lt;=参照データ!$C$88),1,IF(AND($AW34&gt;=参照データ!$C$93,$AW34&lt;=参照データ!$C$91),2,IF(AND($AW34&gt;=参照データ!$C$99,$AW34&lt;=参照データ!$C$97),3,IF(AND($AW34&gt;=参照データ!$C$105,$AW34&lt;=参照データ!$C$103),4,IF(AND($AW34&gt;=参照データ!$C$111,$AW34&lt;=参照データ!$C$109),5,IF(AND($AW34&gt;0,$AW34&lt;=参照データ!$C$112),6,""))))))</f>
        <v/>
      </c>
      <c r="DM34" s="84" t="str">
        <f>IF($AF34="選手権",(VLOOKUP($DL34,参照データ!$D$88:$K$117,6,0)),"")</f>
        <v/>
      </c>
      <c r="DN34" s="85" t="str">
        <f t="shared" si="9"/>
        <v/>
      </c>
      <c r="DO34" s="84" t="str">
        <f>IF($AH34="選手権",(VLOOKUP($DL34,参照データ!$D$88:$K$117,7,0)),"")</f>
        <v/>
      </c>
      <c r="DP34" s="85" t="str">
        <f t="shared" si="22"/>
        <v/>
      </c>
      <c r="DQ34" s="33" t="str">
        <f t="shared" si="23"/>
        <v/>
      </c>
      <c r="DR34" s="32" t="str">
        <f t="shared" si="24"/>
        <v/>
      </c>
      <c r="DS34" s="85" t="str">
        <f t="shared" si="25"/>
        <v/>
      </c>
      <c r="DT34" s="736">
        <v>12</v>
      </c>
      <c r="DU34" s="93" t="s">
        <v>107</v>
      </c>
      <c r="DV34" s="94" t="str">
        <f t="shared" si="35"/>
        <v/>
      </c>
      <c r="DW34" s="737" t="e">
        <f>IF($DV34&gt;$DV35,VLOOKUP($DV34,参照データ!$D$88:$K$117,8,0),VLOOKUP($DV35,参照データ!$D$88:$K$117,8,0))</f>
        <v>#N/A</v>
      </c>
      <c r="DX34" s="312" t="str">
        <f t="shared" ref="DX34" si="70">$DX33</f>
        <v/>
      </c>
      <c r="DZ34" s="491" t="str">
        <f t="shared" si="26"/>
        <v/>
      </c>
      <c r="EE34" s="35">
        <f>(COUNTIF($J34:$O34,"&lt;&gt;"))*参照データ!$E$3</f>
        <v>0</v>
      </c>
      <c r="EF34" s="219" t="str">
        <f>IF($Y34="○",参照データ!$E$4,"")</f>
        <v/>
      </c>
      <c r="EG34" s="18">
        <f>(SUM(COUNTIF($R34:$V34,{"入門","初級"}))*参照データ!$E$9)+(SUM(COUNTIF($R34:$V34,{"中級","上級"})*参照データ!$E$10))</f>
        <v>0</v>
      </c>
      <c r="EH34" s="18">
        <f>IFERROR(VLOOKUP($W34,参照データ!$D$9:$J$11,7,0),0)</f>
        <v>0</v>
      </c>
      <c r="EI34" s="18">
        <f>((COUNTIF($Z34:$AH34,"○"))*参照データ!$E$12)</f>
        <v>0</v>
      </c>
      <c r="EJ34" s="18" t="str">
        <f>(IF($AJ34="○",参照データ!$J$12,""))</f>
        <v/>
      </c>
      <c r="EM34" s="18">
        <f>((COUNTIF($Z34:$AH34,"選手権"))*参照データ!$E$13)</f>
        <v>0</v>
      </c>
      <c r="EN34" s="18" t="str">
        <f>(IF($AJ34="選手権",参照データ!$J$13,""))</f>
        <v/>
      </c>
      <c r="EO34" s="18">
        <f>(COUNTIF($AQ34:$AR34,"&lt;&gt;"))*参照データ!$H$3</f>
        <v>0</v>
      </c>
      <c r="EP34" s="18"/>
      <c r="EQ34" s="98">
        <f t="array" ref="EQ34">SUM(IF(ISERROR(EE34:EN34),0,(EE34:EN34)))</f>
        <v>0</v>
      </c>
      <c r="ER34" s="18"/>
      <c r="ES34" s="18">
        <f t="shared" si="10"/>
        <v>0</v>
      </c>
      <c r="ET34" s="18">
        <f t="shared" si="36"/>
        <v>0</v>
      </c>
      <c r="EU34" s="18">
        <f t="shared" si="27"/>
        <v>0</v>
      </c>
      <c r="EV34" s="18">
        <f t="shared" si="28"/>
        <v>0</v>
      </c>
      <c r="EW34" s="18">
        <f t="shared" si="29"/>
        <v>0</v>
      </c>
      <c r="EX34" s="18">
        <f t="shared" si="30"/>
        <v>0</v>
      </c>
      <c r="EY34" t="str">
        <f t="shared" si="31"/>
        <v/>
      </c>
    </row>
    <row r="35" spans="1:155" ht="18.75" customHeight="1" x14ac:dyDescent="0.2">
      <c r="A35">
        <v>24</v>
      </c>
      <c r="B35" s="14" t="str">
        <f>IF(D35="","",IF(D35="重複","",COUNTIF(B$12:$B34,"&gt;0")+1))</f>
        <v/>
      </c>
      <c r="C35" s="464"/>
      <c r="D35" s="177"/>
      <c r="E35" s="177"/>
      <c r="F35" s="31"/>
      <c r="G35" s="41"/>
      <c r="H35" s="351">
        <f t="shared" si="32"/>
        <v>0</v>
      </c>
      <c r="I35" s="193" t="str">
        <f>IF($AW35=0,"",DATEDIF($AW35,参照データ!$D$16,"Y"))</f>
        <v/>
      </c>
      <c r="J35" s="517"/>
      <c r="K35" s="517"/>
      <c r="L35" s="517"/>
      <c r="M35" s="517"/>
      <c r="N35" s="517"/>
      <c r="O35" s="518"/>
      <c r="P35" s="345"/>
      <c r="Q35" s="345"/>
      <c r="R35" s="519"/>
      <c r="S35" s="244"/>
      <c r="T35" s="244"/>
      <c r="U35" s="244"/>
      <c r="V35" s="245"/>
      <c r="W35" s="248"/>
      <c r="X35" s="250"/>
      <c r="Y35" s="345"/>
      <c r="Z35" s="388"/>
      <c r="AA35" s="346" t="str">
        <f>IF($Z35="○",VLOOKUP($CB35,参照データ!$D$65:$M$82,9,0),IF($Z35="選手権",VLOOKUP($DE35,参照データ!$D$88:$O$117,10,0),""))</f>
        <v/>
      </c>
      <c r="AB35" s="388"/>
      <c r="AC35" s="346" t="str">
        <f>IF($AB35="○",VLOOKUP($CB35,参照データ!$D$65:$M$82,10,0),IF($AB35="選手権",VLOOKUP($DE35,参照データ!$D$88:$O$117,11,0),""))</f>
        <v/>
      </c>
      <c r="AD35" s="388"/>
      <c r="AE35" s="346" t="str">
        <f>IF($AD35="○",VLOOKUP($CB35,参照データ!$D$65:$M$82,10,0),IF($AD35="選手権",VLOOKUP($DE35,参照データ!$D$88:$O$117,11,0),""))</f>
        <v/>
      </c>
      <c r="AF35" s="388"/>
      <c r="AG35" s="346" t="str">
        <f>IF($AF35="○",VLOOKUP($CB35,参照データ!$D$65:$M$82,10,0),IF($AF35="選手権",VLOOKUP($DL35,参照データ!$D$88:$O$117,12,0),""))</f>
        <v/>
      </c>
      <c r="AH35" s="388"/>
      <c r="AI35" s="346" t="str">
        <f>IF($AH35="○",VLOOKUP($CB35,参照データ!$D$65:$M$82,10,0),IF($AH35="選手権",VLOOKUP($DL35,参照データ!$D$88:$O$117,12,0),""))</f>
        <v/>
      </c>
      <c r="AJ35" s="388"/>
      <c r="AK35" s="511"/>
      <c r="AL35" s="346" t="str">
        <f t="shared" si="3"/>
        <v/>
      </c>
      <c r="AM35" s="392"/>
      <c r="AN35" s="391"/>
      <c r="AO35" s="391"/>
      <c r="AP35" s="447"/>
      <c r="AQ35" s="321"/>
      <c r="AR35" s="481"/>
      <c r="AS35" s="393"/>
      <c r="AT35" s="483"/>
      <c r="AW35">
        <f t="shared" si="45"/>
        <v>0</v>
      </c>
      <c r="AX35" t="str">
        <f t="shared" si="33"/>
        <v/>
      </c>
      <c r="AY35" s="132"/>
      <c r="BA35" s="513" t="str">
        <f>IF(団体情報・入力の仕方!$C$3&lt;&gt;"大田区大会","",IF(AW35=0,"",IF(I35&gt;=18,"○","")))</f>
        <v/>
      </c>
      <c r="BB35" s="53" t="str">
        <f>IF($AW35=0,"",IF(AND($I35&gt;=6,$I35&lt;=19),VLOOKUP($I35,参照データ!$B$24:$C$37,2,0),IF($I35&lt;6,6,19)))</f>
        <v/>
      </c>
      <c r="BC35" s="155" t="str">
        <f>IF($J35="○",VLOOKUP($BB35,参照データ!$C$24:$I$37,2,0),"")</f>
        <v/>
      </c>
      <c r="BD35" s="146" t="str">
        <f>IF($K35="○",VLOOKUP($BB35,参照データ!$C$24:$I$37,3,0),"")</f>
        <v/>
      </c>
      <c r="BE35" s="146" t="str">
        <f>IF($L35="○",VLOOKUP($BB35,参照データ!$C$24:$I$37,4,0),"")</f>
        <v/>
      </c>
      <c r="BF35" s="146" t="str">
        <f>IF($M35="○",VLOOKUP($BB35,参照データ!$C$24:$I$37,5,0),"")</f>
        <v/>
      </c>
      <c r="BG35" s="146" t="str">
        <f>IF($N35="20日",VLOOKUP($BB35,参照データ!$C$24:$I$37,6,0),"")</f>
        <v/>
      </c>
      <c r="BH35" s="156" t="str">
        <f>IF($O35="20日",VLOOKUP($BB35,参照データ!$C$24:$I$37,7,0),"")</f>
        <v/>
      </c>
      <c r="BI35" s="155" t="str">
        <f>IF($J35="21日",VLOOKUP($BB35,参照データ!$C$24:$I$37,2,0),"")</f>
        <v/>
      </c>
      <c r="BJ35" s="146" t="str">
        <f>IF($K35="21日",VLOOKUP($BB35,参照データ!$C$24:$I$37,3,0),"")</f>
        <v/>
      </c>
      <c r="BK35" s="146" t="str">
        <f>IF($L35="21日",VLOOKUP($BB35,参照データ!$C$24:$I$37,4,0),"")</f>
        <v/>
      </c>
      <c r="BL35" s="146" t="str">
        <f>IF($M35="21日",VLOOKUP($BB35,参照データ!$C$24:$I$37,5,0),"")</f>
        <v/>
      </c>
      <c r="BM35" s="146" t="str">
        <f>IF($N35="21日",VLOOKUP($BB35,参照データ!$C$24:$I$37,6,0),"")</f>
        <v/>
      </c>
      <c r="BN35" s="156" t="str">
        <f>IF($O35="21日",VLOOKUP($BB35,参照データ!$C$24:$I$37,7,0),"")</f>
        <v/>
      </c>
      <c r="BO35" s="223" t="str">
        <f t="shared" si="40"/>
        <v/>
      </c>
      <c r="BP35" s="154" t="str">
        <f>IF($R35="入門",VLOOKUP($BB35,参照データ!$C$43:$U$56,2,0),IF($R35="初級",VLOOKUP($BB35,参照データ!$C$43:$U$56,3,0),IF($R35="中級",VLOOKUP($BB35,参照データ!$C$43:$U$56,4,0),IF($R35="上級",VLOOKUP($BB35,参照データ!$C$43:$U$56,5,0),""))))</f>
        <v/>
      </c>
      <c r="BQ35" s="154" t="str">
        <f>IF($S35="初級",VLOOKUP($BB35,参照データ!$C$43:$U$56,6,0),IF($S35="中級",VLOOKUP($BB35,参照データ!$C$43:$U$56,7,0),IF($S35="上級",VLOOKUP($BB35,参照データ!$C$43:$U$56,8,0),"")))</f>
        <v/>
      </c>
      <c r="BR35" s="154" t="str">
        <f>IF($T35="初級",VLOOKUP($BB35,参照データ!$C$43:$U$56,9,0),IF($T35="上級",VLOOKUP($BB35,参照データ!$C$43:$U$56,10,0),""))</f>
        <v/>
      </c>
      <c r="BS35" s="154" t="str">
        <f>IF($U35="初級",VLOOKUP($BB35,参照データ!$C$43:$U$56,11,0),IF($U35="中級",VLOOKUP($BB35,参照データ!$C$43:$U$56,12,0),IF($U35="上級",VLOOKUP($BB35,参照データ!$C$43:$U$56,13,0),"")))</f>
        <v/>
      </c>
      <c r="BT35" s="154" t="str">
        <f>IF($V35="初級",VLOOKUP($BB35,参照データ!$C$43:$U$56,14,0),IF($V35="中級",VLOOKUP($BB35,参照データ!$C$43:$U$56,15,0),IF($V35="上級",VLOOKUP($BB35,参照データ!$C$43:$U$56,16,0),"")))</f>
        <v/>
      </c>
      <c r="BU35" s="47" t="str">
        <f t="shared" si="4"/>
        <v/>
      </c>
      <c r="BV35" s="47" t="str">
        <f>IF($W35="初級",VLOOKUP($BB35,参照データ!$C$43:$U$56,17,0),IF($W35="中級",VLOOKUP($BB35,参照データ!$C$43:$U$56,18,0),IF($W35="上級",VLOOKUP($BB35,参照データ!$C$43:$U$56,19,0),"")))</f>
        <v/>
      </c>
      <c r="BW35" s="687"/>
      <c r="BX35" s="65" t="s">
        <v>108</v>
      </c>
      <c r="BY35" s="135" t="str">
        <f t="shared" si="11"/>
        <v/>
      </c>
      <c r="BZ35" s="689"/>
      <c r="CB35" s="53" t="str">
        <f>IF(AND($AW35&gt;=参照データ!$C$67,$AW35&lt;=参照データ!$C$65),1,IF(AND($AW35&gt;=参照データ!$C$70,$AW35&lt;=参照データ!$C$68),2,IF(AND($AW35&gt;=参照データ!$C$73,$AW35&lt;=参照データ!$C$71),3,IF(AND($AW35&gt;=参照データ!$C$76,$AW35&lt;=参照データ!$C$74),4,IF(AND($AW35&gt;=参照データ!$C$79,$AW35&lt;=参照データ!$C$77),5,IF(AND($AW35&gt;0,$AW35&lt;=参照データ!$C$80),6,""))))))</f>
        <v/>
      </c>
      <c r="CC35" s="141" t="str">
        <f>IF($Z35="○",(VLOOKUP($CB35,参照データ!$D$65:$J$82,2,0)),"")</f>
        <v/>
      </c>
      <c r="CD35" s="71" t="str">
        <f t="shared" si="12"/>
        <v/>
      </c>
      <c r="CE35" s="70" t="str">
        <f>IF($AB35="○",(VLOOKUP($CB35,参照データ!$D$65:$J$82,3,0)),"")</f>
        <v/>
      </c>
      <c r="CF35" s="71" t="str">
        <f t="shared" si="13"/>
        <v/>
      </c>
      <c r="CG35" s="70" t="str">
        <f>IF($AD35="○",(VLOOKUP($CB35,参照データ!$D$65:$J$82,4,0)),"")</f>
        <v/>
      </c>
      <c r="CH35" s="71" t="str">
        <f t="shared" si="14"/>
        <v/>
      </c>
      <c r="CI35" s="70" t="str">
        <f>IF($AF35="○",(VLOOKUP($CB35,参照データ!$D$65:$J$82,5,0)),"")</f>
        <v/>
      </c>
      <c r="CJ35" s="71" t="str">
        <f t="shared" si="5"/>
        <v/>
      </c>
      <c r="CK35" s="70" t="str">
        <f>IF($AH35="○",(VLOOKUP($CB35,参照データ!$D$65:$J$82,6,0)),"")</f>
        <v/>
      </c>
      <c r="CL35" s="71" t="str">
        <f t="shared" si="15"/>
        <v/>
      </c>
      <c r="CM35" s="33" t="str">
        <f t="shared" si="16"/>
        <v/>
      </c>
      <c r="CN35" s="32" t="str">
        <f t="shared" si="17"/>
        <v/>
      </c>
      <c r="CO35" s="71" t="str">
        <f t="shared" si="18"/>
        <v/>
      </c>
      <c r="CP35" s="682"/>
      <c r="CQ35" s="77" t="s">
        <v>108</v>
      </c>
      <c r="CR35" s="78" t="str">
        <f t="shared" si="19"/>
        <v/>
      </c>
      <c r="CS35" s="684"/>
      <c r="CT35" s="308" t="str">
        <f t="shared" ref="CT35" si="71">$CT34</f>
        <v/>
      </c>
      <c r="CU35" s="70"/>
      <c r="CV35" s="172" t="str">
        <f t="shared" si="20"/>
        <v/>
      </c>
      <c r="CX35" s="32"/>
      <c r="CY35" s="161" t="str">
        <f t="shared" si="21"/>
        <v/>
      </c>
      <c r="CZ35" s="744"/>
      <c r="DA35" s="164" t="s">
        <v>108</v>
      </c>
      <c r="DB35" s="165" t="str">
        <f t="shared" si="42"/>
        <v/>
      </c>
      <c r="DC35" s="742"/>
      <c r="DD35" t="str">
        <f>IF($DE35="","",DATEDIF($AW35,参照データ!$D$19,"Y"))</f>
        <v/>
      </c>
      <c r="DE35" s="253" t="str">
        <f>IFERROR(IF($AX35="男子",VLOOKUP($DL35,参照データ!$D$88:$E$117,2,0),$DL35),0)</f>
        <v/>
      </c>
      <c r="DF35" s="84" t="str">
        <f>IF($Z35="選手権",(VLOOKUP($DE35,参照データ!$D$88:$K$117,3,0)),"")</f>
        <v/>
      </c>
      <c r="DG35" s="85" t="str">
        <f t="shared" si="6"/>
        <v/>
      </c>
      <c r="DH35" s="84" t="str">
        <f>IF($AB35="選手権",(VLOOKUP($DE35,参照データ!$D$88:$K$117,4,0)),"")</f>
        <v/>
      </c>
      <c r="DI35" s="85" t="str">
        <f t="shared" si="7"/>
        <v/>
      </c>
      <c r="DJ35" s="84" t="str">
        <f>IF($AD35="選手権",(VLOOKUP($DE35,参照データ!$D$88:$K$117,5,0)),"")</f>
        <v/>
      </c>
      <c r="DK35" s="85" t="str">
        <f t="shared" si="8"/>
        <v/>
      </c>
      <c r="DL35" s="53" t="str">
        <f>IF(AND($AW35&gt;=参照データ!$C$90,$AW35&lt;=参照データ!$C$88),1,IF(AND($AW35&gt;=参照データ!$C$93,$AW35&lt;=参照データ!$C$91),2,IF(AND($AW35&gt;=参照データ!$C$99,$AW35&lt;=参照データ!$C$97),3,IF(AND($AW35&gt;=参照データ!$C$105,$AW35&lt;=参照データ!$C$103),4,IF(AND($AW35&gt;=参照データ!$C$111,$AW35&lt;=参照データ!$C$109),5,IF(AND($AW35&gt;0,$AW35&lt;=参照データ!$C$112),6,""))))))</f>
        <v/>
      </c>
      <c r="DM35" s="84" t="str">
        <f>IF($AF35="選手権",(VLOOKUP($DL35,参照データ!$D$88:$K$117,6,0)),"")</f>
        <v/>
      </c>
      <c r="DN35" s="85" t="str">
        <f t="shared" si="9"/>
        <v/>
      </c>
      <c r="DO35" s="84" t="str">
        <f>IF($AH35="選手権",(VLOOKUP($DL35,参照データ!$D$88:$K$117,7,0)),"")</f>
        <v/>
      </c>
      <c r="DP35" s="85" t="str">
        <f t="shared" si="22"/>
        <v/>
      </c>
      <c r="DQ35" s="33" t="str">
        <f t="shared" si="23"/>
        <v/>
      </c>
      <c r="DR35" s="32" t="str">
        <f t="shared" si="24"/>
        <v/>
      </c>
      <c r="DS35" s="85" t="str">
        <f t="shared" si="25"/>
        <v/>
      </c>
      <c r="DT35" s="733"/>
      <c r="DU35" s="91" t="s">
        <v>108</v>
      </c>
      <c r="DV35" s="92" t="str">
        <f t="shared" si="35"/>
        <v/>
      </c>
      <c r="DW35" s="735"/>
      <c r="DX35" s="312" t="str">
        <f>IFERROR(VLOOKUP($DW35,参照データ!$K$88:$O$117,5,0),"")</f>
        <v/>
      </c>
      <c r="DZ35" s="491" t="str">
        <f t="shared" si="26"/>
        <v/>
      </c>
      <c r="EE35" s="35">
        <f>(COUNTIF($J35:$O35,"&lt;&gt;"))*参照データ!$E$3</f>
        <v>0</v>
      </c>
      <c r="EF35" s="219" t="str">
        <f>IF($Y35="○",参照データ!$E$4,"")</f>
        <v/>
      </c>
      <c r="EG35" s="18">
        <f>(SUM(COUNTIF($R35:$V35,{"入門","初級"}))*参照データ!$E$9)+(SUM(COUNTIF($R35:$V35,{"中級","上級"})*参照データ!$E$10))</f>
        <v>0</v>
      </c>
      <c r="EH35" s="18">
        <f>IFERROR(VLOOKUP($W35,参照データ!$D$9:$J$11,7,0),0)</f>
        <v>0</v>
      </c>
      <c r="EI35" s="18">
        <f>((COUNTIF($Z35:$AH35,"○"))*参照データ!$E$12)</f>
        <v>0</v>
      </c>
      <c r="EJ35" s="18" t="str">
        <f>(IF($AJ35="○",参照データ!$J$12,""))</f>
        <v/>
      </c>
      <c r="EM35" s="18">
        <f>((COUNTIF($Z35:$AH35,"選手権"))*参照データ!$E$13)</f>
        <v>0</v>
      </c>
      <c r="EN35" s="18" t="str">
        <f>(IF($AJ35="選手権",参照データ!$J$13,""))</f>
        <v/>
      </c>
      <c r="EO35" s="18">
        <f>(COUNTIF($AQ35:$AR35,"&lt;&gt;"))*参照データ!$H$3</f>
        <v>0</v>
      </c>
      <c r="EP35" s="18"/>
      <c r="EQ35" s="98">
        <f t="array" ref="EQ35">SUM(IF(ISERROR(EE35:EN35),0,(EE35:EN35)))</f>
        <v>0</v>
      </c>
      <c r="ER35" s="18"/>
      <c r="ES35" s="18">
        <f t="shared" si="10"/>
        <v>0</v>
      </c>
      <c r="ET35" s="18">
        <f t="shared" si="36"/>
        <v>0</v>
      </c>
      <c r="EU35" s="18">
        <f t="shared" si="27"/>
        <v>0</v>
      </c>
      <c r="EV35" s="18">
        <f t="shared" si="28"/>
        <v>0</v>
      </c>
      <c r="EW35" s="18">
        <f t="shared" si="29"/>
        <v>0</v>
      </c>
      <c r="EX35" s="18">
        <f t="shared" si="30"/>
        <v>0</v>
      </c>
      <c r="EY35" t="str">
        <f t="shared" si="31"/>
        <v/>
      </c>
    </row>
    <row r="36" spans="1:155" ht="18.75" customHeight="1" x14ac:dyDescent="0.2">
      <c r="A36">
        <v>25</v>
      </c>
      <c r="B36" s="14" t="str">
        <f>IF(D36="","",IF(D36="重複","",COUNTIF(B$12:$B35,"&gt;0")+1))</f>
        <v/>
      </c>
      <c r="C36" s="464"/>
      <c r="D36" s="177"/>
      <c r="E36" s="177"/>
      <c r="F36" s="31"/>
      <c r="G36" s="41"/>
      <c r="H36" s="351">
        <f t="shared" si="32"/>
        <v>0</v>
      </c>
      <c r="I36" s="193" t="str">
        <f>IF($AW36=0,"",DATEDIF($AW36,参照データ!$D$16,"Y"))</f>
        <v/>
      </c>
      <c r="J36" s="517"/>
      <c r="K36" s="517"/>
      <c r="L36" s="517"/>
      <c r="M36" s="517"/>
      <c r="N36" s="517"/>
      <c r="O36" s="518"/>
      <c r="P36" s="345"/>
      <c r="Q36" s="345"/>
      <c r="R36" s="519"/>
      <c r="S36" s="244"/>
      <c r="T36" s="244"/>
      <c r="U36" s="244"/>
      <c r="V36" s="245"/>
      <c r="W36" s="248"/>
      <c r="X36" s="250"/>
      <c r="Y36" s="345"/>
      <c r="Z36" s="388"/>
      <c r="AA36" s="346" t="str">
        <f>IF($Z36="○",VLOOKUP($CB36,参照データ!$D$65:$M$82,9,0),IF($Z36="選手権",VLOOKUP($DE36,参照データ!$D$88:$O$117,10,0),""))</f>
        <v/>
      </c>
      <c r="AB36" s="388"/>
      <c r="AC36" s="346" t="str">
        <f>IF($AB36="○",VLOOKUP($CB36,参照データ!$D$65:$M$82,10,0),IF($AB36="選手権",VLOOKUP($DE36,参照データ!$D$88:$O$117,11,0),""))</f>
        <v/>
      </c>
      <c r="AD36" s="388"/>
      <c r="AE36" s="346" t="str">
        <f>IF($AD36="○",VLOOKUP($CB36,参照データ!$D$65:$M$82,10,0),IF($AD36="選手権",VLOOKUP($DE36,参照データ!$D$88:$O$117,11,0),""))</f>
        <v/>
      </c>
      <c r="AF36" s="388"/>
      <c r="AG36" s="346" t="str">
        <f>IF($AF36="○",VLOOKUP($CB36,参照データ!$D$65:$M$82,10,0),IF($AF36="選手権",VLOOKUP($DL36,参照データ!$D$88:$O$117,12,0),""))</f>
        <v/>
      </c>
      <c r="AH36" s="388"/>
      <c r="AI36" s="346" t="str">
        <f>IF($AH36="○",VLOOKUP($CB36,参照データ!$D$65:$M$82,10,0),IF($AH36="選手権",VLOOKUP($DL36,参照データ!$D$88:$O$117,12,0),""))</f>
        <v/>
      </c>
      <c r="AJ36" s="388"/>
      <c r="AK36" s="511"/>
      <c r="AL36" s="346" t="str">
        <f t="shared" si="3"/>
        <v/>
      </c>
      <c r="AM36" s="392"/>
      <c r="AN36" s="391"/>
      <c r="AO36" s="391"/>
      <c r="AP36" s="447"/>
      <c r="AQ36" s="321"/>
      <c r="AR36" s="481"/>
      <c r="AS36" s="393"/>
      <c r="AT36" s="483"/>
      <c r="AW36">
        <f t="shared" si="45"/>
        <v>0</v>
      </c>
      <c r="AX36" t="str">
        <f t="shared" si="33"/>
        <v/>
      </c>
      <c r="AY36" s="132"/>
      <c r="BA36" s="513" t="str">
        <f>IF(団体情報・入力の仕方!$C$3&lt;&gt;"大田区大会","",IF(AW36=0,"",IF(I36&gt;=18,"○","")))</f>
        <v/>
      </c>
      <c r="BB36" s="53" t="str">
        <f>IF($AW36=0,"",IF(AND($I36&gt;=6,$I36&lt;=19),VLOOKUP($I36,参照データ!$B$24:$C$37,2,0),IF($I36&lt;6,6,19)))</f>
        <v/>
      </c>
      <c r="BC36" s="155" t="str">
        <f>IF($J36="○",VLOOKUP($BB36,参照データ!$C$24:$I$37,2,0),"")</f>
        <v/>
      </c>
      <c r="BD36" s="146" t="str">
        <f>IF($K36="○",VLOOKUP($BB36,参照データ!$C$24:$I$37,3,0),"")</f>
        <v/>
      </c>
      <c r="BE36" s="146" t="str">
        <f>IF($L36="○",VLOOKUP($BB36,参照データ!$C$24:$I$37,4,0),"")</f>
        <v/>
      </c>
      <c r="BF36" s="146" t="str">
        <f>IF($M36="○",VLOOKUP($BB36,参照データ!$C$24:$I$37,5,0),"")</f>
        <v/>
      </c>
      <c r="BG36" s="146" t="str">
        <f>IF($N36="20日",VLOOKUP($BB36,参照データ!$C$24:$I$37,6,0),"")</f>
        <v/>
      </c>
      <c r="BH36" s="156" t="str">
        <f>IF($O36="20日",VLOOKUP($BB36,参照データ!$C$24:$I$37,7,0),"")</f>
        <v/>
      </c>
      <c r="BI36" s="155" t="str">
        <f>IF($J36="21日",VLOOKUP($BB36,参照データ!$C$24:$I$37,2,0),"")</f>
        <v/>
      </c>
      <c r="BJ36" s="146" t="str">
        <f>IF($K36="21日",VLOOKUP($BB36,参照データ!$C$24:$I$37,3,0),"")</f>
        <v/>
      </c>
      <c r="BK36" s="146" t="str">
        <f>IF($L36="21日",VLOOKUP($BB36,参照データ!$C$24:$I$37,4,0),"")</f>
        <v/>
      </c>
      <c r="BL36" s="146" t="str">
        <f>IF($M36="21日",VLOOKUP($BB36,参照データ!$C$24:$I$37,5,0),"")</f>
        <v/>
      </c>
      <c r="BM36" s="146" t="str">
        <f>IF($N36="21日",VLOOKUP($BB36,参照データ!$C$24:$I$37,6,0),"")</f>
        <v/>
      </c>
      <c r="BN36" s="156" t="str">
        <f>IF($O36="21日",VLOOKUP($BB36,参照データ!$C$24:$I$37,7,0),"")</f>
        <v/>
      </c>
      <c r="BO36" s="223" t="str">
        <f t="shared" si="40"/>
        <v/>
      </c>
      <c r="BP36" s="154" t="str">
        <f>IF($R36="入門",VLOOKUP($BB36,参照データ!$C$43:$U$56,2,0),IF($R36="初級",VLOOKUP($BB36,参照データ!$C$43:$U$56,3,0),IF($R36="中級",VLOOKUP($BB36,参照データ!$C$43:$U$56,4,0),IF($R36="上級",VLOOKUP($BB36,参照データ!$C$43:$U$56,5,0),""))))</f>
        <v/>
      </c>
      <c r="BQ36" s="154" t="str">
        <f>IF($S36="初級",VLOOKUP($BB36,参照データ!$C$43:$U$56,6,0),IF($S36="中級",VLOOKUP($BB36,参照データ!$C$43:$U$56,7,0),IF($S36="上級",VLOOKUP($BB36,参照データ!$C$43:$U$56,8,0),"")))</f>
        <v/>
      </c>
      <c r="BR36" s="154" t="str">
        <f>IF($T36="初級",VLOOKUP($BB36,参照データ!$C$43:$U$56,9,0),IF($T36="上級",VLOOKUP($BB36,参照データ!$C$43:$U$56,10,0),""))</f>
        <v/>
      </c>
      <c r="BS36" s="154" t="str">
        <f>IF($U36="初級",VLOOKUP($BB36,参照データ!$C$43:$U$56,11,0),IF($U36="中級",VLOOKUP($BB36,参照データ!$C$43:$U$56,12,0),IF($U36="上級",VLOOKUP($BB36,参照データ!$C$43:$U$56,13,0),"")))</f>
        <v/>
      </c>
      <c r="BT36" s="154" t="str">
        <f>IF($V36="初級",VLOOKUP($BB36,参照データ!$C$43:$U$56,14,0),IF($V36="中級",VLOOKUP($BB36,参照データ!$C$43:$U$56,15,0),IF($V36="上級",VLOOKUP($BB36,参照データ!$C$43:$U$56,16,0),"")))</f>
        <v/>
      </c>
      <c r="BU36" s="47" t="str">
        <f t="shared" si="4"/>
        <v/>
      </c>
      <c r="BV36" s="47" t="str">
        <f>IF($W36="初級",VLOOKUP($BB36,参照データ!$C$43:$U$56,17,0),IF($W36="中級",VLOOKUP($BB36,参照データ!$C$43:$U$56,18,0),IF($W36="上級",VLOOKUP($BB36,参照データ!$C$43:$U$56,19,0),"")))</f>
        <v/>
      </c>
      <c r="BW36" s="686">
        <v>13</v>
      </c>
      <c r="BX36" s="66" t="s">
        <v>109</v>
      </c>
      <c r="BY36" s="136" t="str">
        <f t="shared" si="11"/>
        <v/>
      </c>
      <c r="BZ36" s="688" t="str">
        <f t="shared" ref="BZ36" si="72">IF(OR($BY36="",$BY37=""),"",IF($BY36&gt;$BY37,$BY36,$BY37))</f>
        <v/>
      </c>
      <c r="CB36" s="53" t="str">
        <f>IF(AND($AW36&gt;=参照データ!$C$67,$AW36&lt;=参照データ!$C$65),1,IF(AND($AW36&gt;=参照データ!$C$70,$AW36&lt;=参照データ!$C$68),2,IF(AND($AW36&gt;=参照データ!$C$73,$AW36&lt;=参照データ!$C$71),3,IF(AND($AW36&gt;=参照データ!$C$76,$AW36&lt;=参照データ!$C$74),4,IF(AND($AW36&gt;=参照データ!$C$79,$AW36&lt;=参照データ!$C$77),5,IF(AND($AW36&gt;0,$AW36&lt;=参照データ!$C$80),6,""))))))</f>
        <v/>
      </c>
      <c r="CC36" s="141" t="str">
        <f>IF($Z36="○",(VLOOKUP($CB36,参照データ!$D$65:$J$82,2,0)),"")</f>
        <v/>
      </c>
      <c r="CD36" s="71" t="str">
        <f t="shared" si="12"/>
        <v/>
      </c>
      <c r="CE36" s="70" t="str">
        <f>IF($AB36="○",(VLOOKUP($CB36,参照データ!$D$65:$J$82,3,0)),"")</f>
        <v/>
      </c>
      <c r="CF36" s="71" t="str">
        <f t="shared" si="13"/>
        <v/>
      </c>
      <c r="CG36" s="70" t="str">
        <f>IF($AD36="○",(VLOOKUP($CB36,参照データ!$D$65:$J$82,4,0)),"")</f>
        <v/>
      </c>
      <c r="CH36" s="71" t="str">
        <f t="shared" si="14"/>
        <v/>
      </c>
      <c r="CI36" s="70" t="str">
        <f>IF($AF36="○",(VLOOKUP($CB36,参照データ!$D$65:$J$82,5,0)),"")</f>
        <v/>
      </c>
      <c r="CJ36" s="71" t="str">
        <f t="shared" si="5"/>
        <v/>
      </c>
      <c r="CK36" s="70" t="str">
        <f>IF($AH36="○",(VLOOKUP($CB36,参照データ!$D$65:$J$82,6,0)),"")</f>
        <v/>
      </c>
      <c r="CL36" s="71" t="str">
        <f t="shared" si="15"/>
        <v/>
      </c>
      <c r="CM36" s="33" t="str">
        <f t="shared" si="16"/>
        <v/>
      </c>
      <c r="CN36" s="32" t="str">
        <f t="shared" si="17"/>
        <v/>
      </c>
      <c r="CO36" s="71" t="str">
        <f t="shared" si="18"/>
        <v/>
      </c>
      <c r="CP36" s="681">
        <v>13</v>
      </c>
      <c r="CQ36" s="79" t="s">
        <v>109</v>
      </c>
      <c r="CR36" s="80" t="str">
        <f t="shared" si="19"/>
        <v/>
      </c>
      <c r="CS36" s="683" t="e">
        <f>IF($CR36&gt;$CR37,VLOOKUP($CR36,参照データ!$D$65:$J$82,7,0),VLOOKUP($CR37,参照データ!$D$65:$J$82,7,0))</f>
        <v>#N/A</v>
      </c>
      <c r="CT36" s="308" t="str">
        <f>IFERROR(VLOOKUP($CS36,参照データ!$J$65:$M$82,4,0),"")</f>
        <v/>
      </c>
      <c r="CU36" s="70"/>
      <c r="CV36" s="172" t="str">
        <f t="shared" si="20"/>
        <v/>
      </c>
      <c r="CX36" s="32"/>
      <c r="CY36" s="161" t="str">
        <f t="shared" si="21"/>
        <v/>
      </c>
      <c r="CZ36" s="743">
        <v>13</v>
      </c>
      <c r="DA36" s="166" t="s">
        <v>109</v>
      </c>
      <c r="DB36" s="167" t="str">
        <f t="shared" si="42"/>
        <v/>
      </c>
      <c r="DC36" s="741" t="str">
        <f>IF(OR(DB36="",DB37=""),"",IF(DB36&gt;DB37,DB36,DB37))</f>
        <v/>
      </c>
      <c r="DD36" t="str">
        <f>IF($DE36="","",DATEDIF($AW36,参照データ!$D$19,"Y"))</f>
        <v/>
      </c>
      <c r="DE36" s="253" t="str">
        <f>IFERROR(IF($AX36="男子",VLOOKUP($DL36,参照データ!$D$88:$E$117,2,0),$DL36),0)</f>
        <v/>
      </c>
      <c r="DF36" s="84" t="str">
        <f>IF($Z36="選手権",(VLOOKUP($DE36,参照データ!$D$88:$K$117,3,0)),"")</f>
        <v/>
      </c>
      <c r="DG36" s="85" t="str">
        <f t="shared" si="6"/>
        <v/>
      </c>
      <c r="DH36" s="84" t="str">
        <f>IF($AB36="選手権",(VLOOKUP($DE36,参照データ!$D$88:$K$117,4,0)),"")</f>
        <v/>
      </c>
      <c r="DI36" s="85" t="str">
        <f t="shared" si="7"/>
        <v/>
      </c>
      <c r="DJ36" s="84" t="str">
        <f>IF($AD36="選手権",(VLOOKUP($DE36,参照データ!$D$88:$K$117,5,0)),"")</f>
        <v/>
      </c>
      <c r="DK36" s="85" t="str">
        <f t="shared" si="8"/>
        <v/>
      </c>
      <c r="DL36" s="53" t="str">
        <f>IF(AND($AW36&gt;=参照データ!$C$90,$AW36&lt;=参照データ!$C$88),1,IF(AND($AW36&gt;=参照データ!$C$93,$AW36&lt;=参照データ!$C$91),2,IF(AND($AW36&gt;=参照データ!$C$99,$AW36&lt;=参照データ!$C$97),3,IF(AND($AW36&gt;=参照データ!$C$105,$AW36&lt;=参照データ!$C$103),4,IF(AND($AW36&gt;=参照データ!$C$111,$AW36&lt;=参照データ!$C$109),5,IF(AND($AW36&gt;0,$AW36&lt;=参照データ!$C$112),6,""))))))</f>
        <v/>
      </c>
      <c r="DM36" s="84" t="str">
        <f>IF($AF36="選手権",(VLOOKUP($DL36,参照データ!$D$88:$K$117,6,0)),"")</f>
        <v/>
      </c>
      <c r="DN36" s="85" t="str">
        <f t="shared" si="9"/>
        <v/>
      </c>
      <c r="DO36" s="84" t="str">
        <f>IF($AH36="選手権",(VLOOKUP($DL36,参照データ!$D$88:$K$117,7,0)),"")</f>
        <v/>
      </c>
      <c r="DP36" s="85" t="str">
        <f t="shared" si="22"/>
        <v/>
      </c>
      <c r="DQ36" s="33" t="str">
        <f t="shared" si="23"/>
        <v/>
      </c>
      <c r="DR36" s="32" t="str">
        <f t="shared" si="24"/>
        <v/>
      </c>
      <c r="DS36" s="85" t="str">
        <f t="shared" si="25"/>
        <v/>
      </c>
      <c r="DT36" s="736">
        <v>13</v>
      </c>
      <c r="DU36" s="93" t="s">
        <v>109</v>
      </c>
      <c r="DV36" s="94" t="str">
        <f t="shared" si="35"/>
        <v/>
      </c>
      <c r="DW36" s="737" t="e">
        <f>IF($DV36&gt;$DV37,VLOOKUP($DV36,参照データ!$D$88:$K$117,8,0),VLOOKUP($DV37,参照データ!$D$88:$K$117,8,0))</f>
        <v>#N/A</v>
      </c>
      <c r="DX36" s="312" t="str">
        <f t="shared" ref="DX36" si="73">$DX35</f>
        <v/>
      </c>
      <c r="DZ36" s="491" t="str">
        <f t="shared" si="26"/>
        <v/>
      </c>
      <c r="EE36" s="35">
        <f>(COUNTIF($J36:$O36,"&lt;&gt;"))*参照データ!$E$3</f>
        <v>0</v>
      </c>
      <c r="EF36" s="219" t="str">
        <f>IF($Y36="○",参照データ!$E$4,"")</f>
        <v/>
      </c>
      <c r="EG36" s="18">
        <f>(SUM(COUNTIF($R36:$V36,{"入門","初級"}))*参照データ!$E$9)+(SUM(COUNTIF($R36:$V36,{"中級","上級"})*参照データ!$E$10))</f>
        <v>0</v>
      </c>
      <c r="EH36" s="18">
        <f>IFERROR(VLOOKUP($W36,参照データ!$D$9:$J$11,7,0),0)</f>
        <v>0</v>
      </c>
      <c r="EI36" s="18">
        <f>((COUNTIF($Z36:$AH36,"○"))*参照データ!$E$12)</f>
        <v>0</v>
      </c>
      <c r="EJ36" s="18" t="str">
        <f>(IF($AJ36="○",参照データ!$J$12,""))</f>
        <v/>
      </c>
      <c r="EM36" s="18">
        <f>((COUNTIF($Z36:$AH36,"選手権"))*参照データ!$E$13)</f>
        <v>0</v>
      </c>
      <c r="EN36" s="18" t="str">
        <f>(IF($AJ36="選手権",参照データ!$J$13,""))</f>
        <v/>
      </c>
      <c r="EO36" s="18">
        <f>(COUNTIF($AQ36:$AR36,"&lt;&gt;"))*参照データ!$H$3</f>
        <v>0</v>
      </c>
      <c r="EP36" s="18"/>
      <c r="EQ36" s="98">
        <f t="array" ref="EQ36">SUM(IF(ISERROR(EE36:EN36),0,(EE36:EN36)))</f>
        <v>0</v>
      </c>
      <c r="ER36" s="18"/>
      <c r="ES36" s="18">
        <f t="shared" si="10"/>
        <v>0</v>
      </c>
      <c r="ET36" s="18">
        <f t="shared" si="36"/>
        <v>0</v>
      </c>
      <c r="EU36" s="18">
        <f t="shared" si="27"/>
        <v>0</v>
      </c>
      <c r="EV36" s="18">
        <f t="shared" si="28"/>
        <v>0</v>
      </c>
      <c r="EW36" s="18">
        <f t="shared" si="29"/>
        <v>0</v>
      </c>
      <c r="EX36" s="18">
        <f t="shared" si="30"/>
        <v>0</v>
      </c>
      <c r="EY36" t="str">
        <f t="shared" si="31"/>
        <v/>
      </c>
    </row>
    <row r="37" spans="1:155" ht="18.75" customHeight="1" x14ac:dyDescent="0.2">
      <c r="A37">
        <v>26</v>
      </c>
      <c r="B37" s="14" t="str">
        <f>IF(D37="","",IF(D37="重複","",COUNTIF(B$12:$B36,"&gt;0")+1))</f>
        <v/>
      </c>
      <c r="C37" s="464"/>
      <c r="D37" s="177"/>
      <c r="E37" s="177"/>
      <c r="F37" s="31"/>
      <c r="G37" s="41"/>
      <c r="H37" s="351">
        <f t="shared" si="32"/>
        <v>0</v>
      </c>
      <c r="I37" s="193" t="str">
        <f>IF($AW37=0,"",DATEDIF($AW37,参照データ!$D$16,"Y"))</f>
        <v/>
      </c>
      <c r="J37" s="517"/>
      <c r="K37" s="517"/>
      <c r="L37" s="517"/>
      <c r="M37" s="517"/>
      <c r="N37" s="517"/>
      <c r="O37" s="518"/>
      <c r="P37" s="345"/>
      <c r="Q37" s="345"/>
      <c r="R37" s="519"/>
      <c r="S37" s="244"/>
      <c r="T37" s="244"/>
      <c r="U37" s="244"/>
      <c r="V37" s="245"/>
      <c r="W37" s="248"/>
      <c r="X37" s="250"/>
      <c r="Y37" s="345"/>
      <c r="Z37" s="388"/>
      <c r="AA37" s="346" t="str">
        <f>IF($Z37="○",VLOOKUP($CB37,参照データ!$D$65:$M$82,9,0),IF($Z37="選手権",VLOOKUP($DE37,参照データ!$D$88:$O$117,10,0),""))</f>
        <v/>
      </c>
      <c r="AB37" s="388"/>
      <c r="AC37" s="346" t="str">
        <f>IF($AB37="○",VLOOKUP($CB37,参照データ!$D$65:$M$82,10,0),IF($AB37="選手権",VLOOKUP($DE37,参照データ!$D$88:$O$117,11,0),""))</f>
        <v/>
      </c>
      <c r="AD37" s="388"/>
      <c r="AE37" s="346" t="str">
        <f>IF($AD37="○",VLOOKUP($CB37,参照データ!$D$65:$M$82,10,0),IF($AD37="選手権",VLOOKUP($DE37,参照データ!$D$88:$O$117,11,0),""))</f>
        <v/>
      </c>
      <c r="AF37" s="388"/>
      <c r="AG37" s="346" t="str">
        <f>IF($AF37="○",VLOOKUP($CB37,参照データ!$D$65:$M$82,10,0),IF($AF37="選手権",VLOOKUP($DL37,参照データ!$D$88:$O$117,12,0),""))</f>
        <v/>
      </c>
      <c r="AH37" s="388"/>
      <c r="AI37" s="346" t="str">
        <f>IF($AH37="○",VLOOKUP($CB37,参照データ!$D$65:$M$82,10,0),IF($AH37="選手権",VLOOKUP($DL37,参照データ!$D$88:$O$117,12,0),""))</f>
        <v/>
      </c>
      <c r="AJ37" s="388"/>
      <c r="AK37" s="511"/>
      <c r="AL37" s="346" t="str">
        <f t="shared" si="3"/>
        <v/>
      </c>
      <c r="AM37" s="392"/>
      <c r="AN37" s="391"/>
      <c r="AO37" s="391"/>
      <c r="AP37" s="447"/>
      <c r="AQ37" s="321"/>
      <c r="AR37" s="481"/>
      <c r="AS37" s="393"/>
      <c r="AT37" s="483"/>
      <c r="AW37">
        <f t="shared" si="45"/>
        <v>0</v>
      </c>
      <c r="AX37" t="str">
        <f t="shared" si="33"/>
        <v/>
      </c>
      <c r="AY37" s="132"/>
      <c r="BA37" s="513" t="str">
        <f>IF(団体情報・入力の仕方!$C$3&lt;&gt;"大田区大会","",IF(AW37=0,"",IF(I37&gt;=18,"○","")))</f>
        <v/>
      </c>
      <c r="BB37" s="53" t="str">
        <f>IF($AW37=0,"",IF(AND($I37&gt;=6,$I37&lt;=19),VLOOKUP($I37,参照データ!$B$24:$C$37,2,0),IF($I37&lt;6,6,19)))</f>
        <v/>
      </c>
      <c r="BC37" s="155" t="str">
        <f>IF($J37="○",VLOOKUP($BB37,参照データ!$C$24:$I$37,2,0),"")</f>
        <v/>
      </c>
      <c r="BD37" s="146" t="str">
        <f>IF($K37="○",VLOOKUP($BB37,参照データ!$C$24:$I$37,3,0),"")</f>
        <v/>
      </c>
      <c r="BE37" s="146" t="str">
        <f>IF($L37="○",VLOOKUP($BB37,参照データ!$C$24:$I$37,4,0),"")</f>
        <v/>
      </c>
      <c r="BF37" s="146" t="str">
        <f>IF($M37="○",VLOOKUP($BB37,参照データ!$C$24:$I$37,5,0),"")</f>
        <v/>
      </c>
      <c r="BG37" s="146" t="str">
        <f>IF($N37="20日",VLOOKUP($BB37,参照データ!$C$24:$I$37,6,0),"")</f>
        <v/>
      </c>
      <c r="BH37" s="156" t="str">
        <f>IF($O37="20日",VLOOKUP($BB37,参照データ!$C$24:$I$37,7,0),"")</f>
        <v/>
      </c>
      <c r="BI37" s="155" t="str">
        <f>IF($J37="21日",VLOOKUP($BB37,参照データ!$C$24:$I$37,2,0),"")</f>
        <v/>
      </c>
      <c r="BJ37" s="146" t="str">
        <f>IF($K37="21日",VLOOKUP($BB37,参照データ!$C$24:$I$37,3,0),"")</f>
        <v/>
      </c>
      <c r="BK37" s="146" t="str">
        <f>IF($L37="21日",VLOOKUP($BB37,参照データ!$C$24:$I$37,4,0),"")</f>
        <v/>
      </c>
      <c r="BL37" s="146" t="str">
        <f>IF($M37="21日",VLOOKUP($BB37,参照データ!$C$24:$I$37,5,0),"")</f>
        <v/>
      </c>
      <c r="BM37" s="146" t="str">
        <f>IF($N37="21日",VLOOKUP($BB37,参照データ!$C$24:$I$37,6,0),"")</f>
        <v/>
      </c>
      <c r="BN37" s="156" t="str">
        <f>IF($O37="21日",VLOOKUP($BB37,参照データ!$C$24:$I$37,7,0),"")</f>
        <v/>
      </c>
      <c r="BO37" s="223" t="str">
        <f t="shared" si="40"/>
        <v/>
      </c>
      <c r="BP37" s="154" t="str">
        <f>IF($R37="入門",VLOOKUP($BB37,参照データ!$C$43:$U$56,2,0),IF($R37="初級",VLOOKUP($BB37,参照データ!$C$43:$U$56,3,0),IF($R37="中級",VLOOKUP($BB37,参照データ!$C$43:$U$56,4,0),IF($R37="上級",VLOOKUP($BB37,参照データ!$C$43:$U$56,5,0),""))))</f>
        <v/>
      </c>
      <c r="BQ37" s="154" t="str">
        <f>IF($S37="初級",VLOOKUP($BB37,参照データ!$C$43:$U$56,6,0),IF($S37="中級",VLOOKUP($BB37,参照データ!$C$43:$U$56,7,0),IF($S37="上級",VLOOKUP($BB37,参照データ!$C$43:$U$56,8,0),"")))</f>
        <v/>
      </c>
      <c r="BR37" s="154" t="str">
        <f>IF($T37="初級",VLOOKUP($BB37,参照データ!$C$43:$U$56,9,0),IF($T37="上級",VLOOKUP($BB37,参照データ!$C$43:$U$56,10,0),""))</f>
        <v/>
      </c>
      <c r="BS37" s="154" t="str">
        <f>IF($U37="初級",VLOOKUP($BB37,参照データ!$C$43:$U$56,11,0),IF($U37="中級",VLOOKUP($BB37,参照データ!$C$43:$U$56,12,0),IF($U37="上級",VLOOKUP($BB37,参照データ!$C$43:$U$56,13,0),"")))</f>
        <v/>
      </c>
      <c r="BT37" s="154" t="str">
        <f>IF($V37="初級",VLOOKUP($BB37,参照データ!$C$43:$U$56,14,0),IF($V37="中級",VLOOKUP($BB37,参照データ!$C$43:$U$56,15,0),IF($V37="上級",VLOOKUP($BB37,参照データ!$C$43:$U$56,16,0),"")))</f>
        <v/>
      </c>
      <c r="BU37" s="47" t="str">
        <f t="shared" si="4"/>
        <v/>
      </c>
      <c r="BV37" s="47" t="str">
        <f>IF($W37="初級",VLOOKUP($BB37,参照データ!$C$43:$U$56,17,0),IF($W37="中級",VLOOKUP($BB37,参照データ!$C$43:$U$56,18,0),IF($W37="上級",VLOOKUP($BB37,参照データ!$C$43:$U$56,19,0),"")))</f>
        <v/>
      </c>
      <c r="BW37" s="687"/>
      <c r="BX37" s="65" t="s">
        <v>110</v>
      </c>
      <c r="BY37" s="135" t="str">
        <f t="shared" si="11"/>
        <v/>
      </c>
      <c r="BZ37" s="689"/>
      <c r="CB37" s="53" t="str">
        <f>IF(AND($AW37&gt;=参照データ!$C$67,$AW37&lt;=参照データ!$C$65),1,IF(AND($AW37&gt;=参照データ!$C$70,$AW37&lt;=参照データ!$C$68),2,IF(AND($AW37&gt;=参照データ!$C$73,$AW37&lt;=参照データ!$C$71),3,IF(AND($AW37&gt;=参照データ!$C$76,$AW37&lt;=参照データ!$C$74),4,IF(AND($AW37&gt;=参照データ!$C$79,$AW37&lt;=参照データ!$C$77),5,IF(AND($AW37&gt;0,$AW37&lt;=参照データ!$C$80),6,""))))))</f>
        <v/>
      </c>
      <c r="CC37" s="141" t="str">
        <f>IF($Z37="○",(VLOOKUP($CB37,参照データ!$D$65:$J$82,2,0)),"")</f>
        <v/>
      </c>
      <c r="CD37" s="71" t="str">
        <f t="shared" si="12"/>
        <v/>
      </c>
      <c r="CE37" s="70" t="str">
        <f>IF($AB37="○",(VLOOKUP($CB37,参照データ!$D$65:$J$82,3,0)),"")</f>
        <v/>
      </c>
      <c r="CF37" s="71" t="str">
        <f t="shared" si="13"/>
        <v/>
      </c>
      <c r="CG37" s="70" t="str">
        <f>IF($AD37="○",(VLOOKUP($CB37,参照データ!$D$65:$J$82,4,0)),"")</f>
        <v/>
      </c>
      <c r="CH37" s="71" t="str">
        <f t="shared" si="14"/>
        <v/>
      </c>
      <c r="CI37" s="70" t="str">
        <f>IF($AF37="○",(VLOOKUP($CB37,参照データ!$D$65:$J$82,5,0)),"")</f>
        <v/>
      </c>
      <c r="CJ37" s="71" t="str">
        <f t="shared" si="5"/>
        <v/>
      </c>
      <c r="CK37" s="70" t="str">
        <f>IF($AH37="○",(VLOOKUP($CB37,参照データ!$D$65:$J$82,6,0)),"")</f>
        <v/>
      </c>
      <c r="CL37" s="71" t="str">
        <f t="shared" si="15"/>
        <v/>
      </c>
      <c r="CM37" s="33" t="str">
        <f t="shared" si="16"/>
        <v/>
      </c>
      <c r="CN37" s="32" t="str">
        <f t="shared" si="17"/>
        <v/>
      </c>
      <c r="CO37" s="71" t="str">
        <f t="shared" si="18"/>
        <v/>
      </c>
      <c r="CP37" s="682"/>
      <c r="CQ37" s="77" t="s">
        <v>110</v>
      </c>
      <c r="CR37" s="78" t="str">
        <f t="shared" si="19"/>
        <v/>
      </c>
      <c r="CS37" s="684"/>
      <c r="CT37" s="308" t="str">
        <f t="shared" ref="CT37" si="74">$CT36</f>
        <v/>
      </c>
      <c r="CU37" s="70"/>
      <c r="CV37" s="172" t="str">
        <f t="shared" si="20"/>
        <v/>
      </c>
      <c r="CX37" s="32"/>
      <c r="CY37" s="161" t="str">
        <f t="shared" si="21"/>
        <v/>
      </c>
      <c r="CZ37" s="744"/>
      <c r="DA37" s="164" t="s">
        <v>110</v>
      </c>
      <c r="DB37" s="165" t="str">
        <f t="shared" si="42"/>
        <v/>
      </c>
      <c r="DC37" s="742"/>
      <c r="DD37" t="str">
        <f>IF($DE37="","",DATEDIF($AW37,参照データ!$D$19,"Y"))</f>
        <v/>
      </c>
      <c r="DE37" s="253" t="str">
        <f>IFERROR(IF($AX37="男子",VLOOKUP($DL37,参照データ!$D$88:$E$117,2,0),$DL37),0)</f>
        <v/>
      </c>
      <c r="DF37" s="84" t="str">
        <f>IF($Z37="選手権",(VLOOKUP($DE37,参照データ!$D$88:$K$117,3,0)),"")</f>
        <v/>
      </c>
      <c r="DG37" s="85" t="str">
        <f t="shared" si="6"/>
        <v/>
      </c>
      <c r="DH37" s="84" t="str">
        <f>IF($AB37="選手権",(VLOOKUP($DE37,参照データ!$D$88:$K$117,4,0)),"")</f>
        <v/>
      </c>
      <c r="DI37" s="85" t="str">
        <f t="shared" si="7"/>
        <v/>
      </c>
      <c r="DJ37" s="84" t="str">
        <f>IF($AD37="選手権",(VLOOKUP($DE37,参照データ!$D$88:$K$117,5,0)),"")</f>
        <v/>
      </c>
      <c r="DK37" s="85" t="str">
        <f t="shared" si="8"/>
        <v/>
      </c>
      <c r="DL37" s="53" t="str">
        <f>IF(AND($AW37&gt;=参照データ!$C$90,$AW37&lt;=参照データ!$C$88),1,IF(AND($AW37&gt;=参照データ!$C$93,$AW37&lt;=参照データ!$C$91),2,IF(AND($AW37&gt;=参照データ!$C$99,$AW37&lt;=参照データ!$C$97),3,IF(AND($AW37&gt;=参照データ!$C$105,$AW37&lt;=参照データ!$C$103),4,IF(AND($AW37&gt;=参照データ!$C$111,$AW37&lt;=参照データ!$C$109),5,IF(AND($AW37&gt;0,$AW37&lt;=参照データ!$C$112),6,""))))))</f>
        <v/>
      </c>
      <c r="DM37" s="84" t="str">
        <f>IF($AF37="選手権",(VLOOKUP($DL37,参照データ!$D$88:$K$117,6,0)),"")</f>
        <v/>
      </c>
      <c r="DN37" s="85" t="str">
        <f t="shared" si="9"/>
        <v/>
      </c>
      <c r="DO37" s="84" t="str">
        <f>IF($AH37="選手権",(VLOOKUP($DL37,参照データ!$D$88:$K$117,7,0)),"")</f>
        <v/>
      </c>
      <c r="DP37" s="85" t="str">
        <f t="shared" si="22"/>
        <v/>
      </c>
      <c r="DQ37" s="33" t="str">
        <f t="shared" si="23"/>
        <v/>
      </c>
      <c r="DR37" s="32" t="str">
        <f t="shared" si="24"/>
        <v/>
      </c>
      <c r="DS37" s="85" t="str">
        <f t="shared" si="25"/>
        <v/>
      </c>
      <c r="DT37" s="733"/>
      <c r="DU37" s="91" t="s">
        <v>110</v>
      </c>
      <c r="DV37" s="92" t="str">
        <f t="shared" si="35"/>
        <v/>
      </c>
      <c r="DW37" s="735"/>
      <c r="DX37" s="312" t="str">
        <f>IFERROR(VLOOKUP($DW37,参照データ!$K$88:$O$117,5,0),"")</f>
        <v/>
      </c>
      <c r="DZ37" s="491" t="str">
        <f t="shared" si="26"/>
        <v/>
      </c>
      <c r="EE37" s="35">
        <f>(COUNTIF($J37:$O37,"&lt;&gt;"))*参照データ!$E$3</f>
        <v>0</v>
      </c>
      <c r="EF37" s="219" t="str">
        <f>IF($Y37="○",参照データ!$E$4,"")</f>
        <v/>
      </c>
      <c r="EG37" s="18">
        <f>(SUM(COUNTIF($R37:$V37,{"入門","初級"}))*参照データ!$E$9)+(SUM(COUNTIF($R37:$V37,{"中級","上級"})*参照データ!$E$10))</f>
        <v>0</v>
      </c>
      <c r="EH37" s="18">
        <f>IFERROR(VLOOKUP($W37,参照データ!$D$9:$J$11,7,0),0)</f>
        <v>0</v>
      </c>
      <c r="EI37" s="18">
        <f>((COUNTIF($Z37:$AH37,"○"))*参照データ!$E$12)</f>
        <v>0</v>
      </c>
      <c r="EJ37" s="18" t="str">
        <f>(IF($AJ37="○",参照データ!$J$12,""))</f>
        <v/>
      </c>
      <c r="EM37" s="18">
        <f>((COUNTIF($Z37:$AH37,"選手権"))*参照データ!$E$13)</f>
        <v>0</v>
      </c>
      <c r="EN37" s="18" t="str">
        <f>(IF($AJ37="選手権",参照データ!$J$13,""))</f>
        <v/>
      </c>
      <c r="EO37" s="18">
        <f>(COUNTIF($AQ37:$AR37,"&lt;&gt;"))*参照データ!$H$3</f>
        <v>0</v>
      </c>
      <c r="EP37" s="18"/>
      <c r="EQ37" s="98">
        <f t="array" ref="EQ37">SUM(IF(ISERROR(EE37:EN37),0,(EE37:EN37)))</f>
        <v>0</v>
      </c>
      <c r="ER37" s="18"/>
      <c r="ES37" s="18">
        <f t="shared" si="10"/>
        <v>0</v>
      </c>
      <c r="ET37" s="18">
        <f t="shared" si="36"/>
        <v>0</v>
      </c>
      <c r="EU37" s="18">
        <f t="shared" si="27"/>
        <v>0</v>
      </c>
      <c r="EV37" s="18">
        <f t="shared" si="28"/>
        <v>0</v>
      </c>
      <c r="EW37" s="18">
        <f t="shared" si="29"/>
        <v>0</v>
      </c>
      <c r="EX37" s="18">
        <f t="shared" si="30"/>
        <v>0</v>
      </c>
      <c r="EY37" t="str">
        <f t="shared" si="31"/>
        <v/>
      </c>
    </row>
    <row r="38" spans="1:155" ht="18.75" customHeight="1" x14ac:dyDescent="0.2">
      <c r="A38">
        <v>27</v>
      </c>
      <c r="B38" s="14" t="str">
        <f>IF(D38="","",IF(D38="重複","",COUNTIF(B$12:$B37,"&gt;0")+1))</f>
        <v/>
      </c>
      <c r="C38" s="464"/>
      <c r="D38" s="177"/>
      <c r="E38" s="177"/>
      <c r="F38" s="31"/>
      <c r="G38" s="41"/>
      <c r="H38" s="351">
        <f t="shared" si="32"/>
        <v>0</v>
      </c>
      <c r="I38" s="193" t="str">
        <f>IF($AW38=0,"",DATEDIF($AW38,参照データ!$D$16,"Y"))</f>
        <v/>
      </c>
      <c r="J38" s="517"/>
      <c r="K38" s="517"/>
      <c r="L38" s="517"/>
      <c r="M38" s="517"/>
      <c r="N38" s="517"/>
      <c r="O38" s="518"/>
      <c r="P38" s="345"/>
      <c r="Q38" s="345"/>
      <c r="R38" s="519"/>
      <c r="S38" s="244"/>
      <c r="T38" s="244"/>
      <c r="U38" s="244"/>
      <c r="V38" s="245"/>
      <c r="W38" s="248"/>
      <c r="X38" s="250"/>
      <c r="Y38" s="345"/>
      <c r="Z38" s="388"/>
      <c r="AA38" s="346" t="str">
        <f>IF($Z38="○",VLOOKUP($CB38,参照データ!$D$65:$M$82,9,0),IF($Z38="選手権",VLOOKUP($DE38,参照データ!$D$88:$O$117,10,0),""))</f>
        <v/>
      </c>
      <c r="AB38" s="388"/>
      <c r="AC38" s="346" t="str">
        <f>IF($AB38="○",VLOOKUP($CB38,参照データ!$D$65:$M$82,10,0),IF($AB38="選手権",VLOOKUP($DE38,参照データ!$D$88:$O$117,11,0),""))</f>
        <v/>
      </c>
      <c r="AD38" s="388"/>
      <c r="AE38" s="346" t="str">
        <f>IF($AD38="○",VLOOKUP($CB38,参照データ!$D$65:$M$82,10,0),IF($AD38="選手権",VLOOKUP($DE38,参照データ!$D$88:$O$117,11,0),""))</f>
        <v/>
      </c>
      <c r="AF38" s="388"/>
      <c r="AG38" s="346" t="str">
        <f>IF($AF38="○",VLOOKUP($CB38,参照データ!$D$65:$M$82,10,0),IF($AF38="選手権",VLOOKUP($DL38,参照データ!$D$88:$O$117,12,0),""))</f>
        <v/>
      </c>
      <c r="AH38" s="388"/>
      <c r="AI38" s="346" t="str">
        <f>IF($AH38="○",VLOOKUP($CB38,参照データ!$D$65:$M$82,10,0),IF($AH38="選手権",VLOOKUP($DL38,参照データ!$D$88:$O$117,12,0),""))</f>
        <v/>
      </c>
      <c r="AJ38" s="388"/>
      <c r="AK38" s="511"/>
      <c r="AL38" s="346" t="str">
        <f t="shared" si="3"/>
        <v/>
      </c>
      <c r="AM38" s="392"/>
      <c r="AN38" s="391"/>
      <c r="AO38" s="391"/>
      <c r="AP38" s="447"/>
      <c r="AQ38" s="321"/>
      <c r="AR38" s="481"/>
      <c r="AS38" s="393"/>
      <c r="AT38" s="483"/>
      <c r="AW38">
        <f t="shared" si="45"/>
        <v>0</v>
      </c>
      <c r="AX38" t="str">
        <f t="shared" si="33"/>
        <v/>
      </c>
      <c r="AY38" s="132"/>
      <c r="BA38" s="513" t="str">
        <f>IF(団体情報・入力の仕方!$C$3&lt;&gt;"大田区大会","",IF(AW38=0,"",IF(I38&gt;=18,"○","")))</f>
        <v/>
      </c>
      <c r="BB38" s="53" t="str">
        <f>IF($AW38=0,"",IF(AND($I38&gt;=6,$I38&lt;=19),VLOOKUP($I38,参照データ!$B$24:$C$37,2,0),IF($I38&lt;6,6,19)))</f>
        <v/>
      </c>
      <c r="BC38" s="155" t="str">
        <f>IF($J38="○",VLOOKUP($BB38,参照データ!$C$24:$I$37,2,0),"")</f>
        <v/>
      </c>
      <c r="BD38" s="146" t="str">
        <f>IF($K38="○",VLOOKUP($BB38,参照データ!$C$24:$I$37,3,0),"")</f>
        <v/>
      </c>
      <c r="BE38" s="146" t="str">
        <f>IF($L38="○",VLOOKUP($BB38,参照データ!$C$24:$I$37,4,0),"")</f>
        <v/>
      </c>
      <c r="BF38" s="146" t="str">
        <f>IF($M38="○",VLOOKUP($BB38,参照データ!$C$24:$I$37,5,0),"")</f>
        <v/>
      </c>
      <c r="BG38" s="146" t="str">
        <f>IF($N38="20日",VLOOKUP($BB38,参照データ!$C$24:$I$37,6,0),"")</f>
        <v/>
      </c>
      <c r="BH38" s="156" t="str">
        <f>IF($O38="20日",VLOOKUP($BB38,参照データ!$C$24:$I$37,7,0),"")</f>
        <v/>
      </c>
      <c r="BI38" s="155" t="str">
        <f>IF($J38="21日",VLOOKUP($BB38,参照データ!$C$24:$I$37,2,0),"")</f>
        <v/>
      </c>
      <c r="BJ38" s="146" t="str">
        <f>IF($K38="21日",VLOOKUP($BB38,参照データ!$C$24:$I$37,3,0),"")</f>
        <v/>
      </c>
      <c r="BK38" s="146" t="str">
        <f>IF($L38="21日",VLOOKUP($BB38,参照データ!$C$24:$I$37,4,0),"")</f>
        <v/>
      </c>
      <c r="BL38" s="146" t="str">
        <f>IF($M38="21日",VLOOKUP($BB38,参照データ!$C$24:$I$37,5,0),"")</f>
        <v/>
      </c>
      <c r="BM38" s="146" t="str">
        <f>IF($N38="21日",VLOOKUP($BB38,参照データ!$C$24:$I$37,6,0),"")</f>
        <v/>
      </c>
      <c r="BN38" s="156" t="str">
        <f>IF($O38="21日",VLOOKUP($BB38,参照データ!$C$24:$I$37,7,0),"")</f>
        <v/>
      </c>
      <c r="BO38" s="223" t="str">
        <f t="shared" si="40"/>
        <v/>
      </c>
      <c r="BP38" s="154" t="str">
        <f>IF($R38="入門",VLOOKUP($BB38,参照データ!$C$43:$U$56,2,0),IF($R38="初級",VLOOKUP($BB38,参照データ!$C$43:$U$56,3,0),IF($R38="中級",VLOOKUP($BB38,参照データ!$C$43:$U$56,4,0),IF($R38="上級",VLOOKUP($BB38,参照データ!$C$43:$U$56,5,0),""))))</f>
        <v/>
      </c>
      <c r="BQ38" s="154" t="str">
        <f>IF($S38="初級",VLOOKUP($BB38,参照データ!$C$43:$U$56,6,0),IF($S38="中級",VLOOKUP($BB38,参照データ!$C$43:$U$56,7,0),IF($S38="上級",VLOOKUP($BB38,参照データ!$C$43:$U$56,8,0),"")))</f>
        <v/>
      </c>
      <c r="BR38" s="154" t="str">
        <f>IF($T38="初級",VLOOKUP($BB38,参照データ!$C$43:$U$56,9,0),IF($T38="上級",VLOOKUP($BB38,参照データ!$C$43:$U$56,10,0),""))</f>
        <v/>
      </c>
      <c r="BS38" s="154" t="str">
        <f>IF($U38="初級",VLOOKUP($BB38,参照データ!$C$43:$U$56,11,0),IF($U38="中級",VLOOKUP($BB38,参照データ!$C$43:$U$56,12,0),IF($U38="上級",VLOOKUP($BB38,参照データ!$C$43:$U$56,13,0),"")))</f>
        <v/>
      </c>
      <c r="BT38" s="154" t="str">
        <f>IF($V38="初級",VLOOKUP($BB38,参照データ!$C$43:$U$56,14,0),IF($V38="中級",VLOOKUP($BB38,参照データ!$C$43:$U$56,15,0),IF($V38="上級",VLOOKUP($BB38,参照データ!$C$43:$U$56,16,0),"")))</f>
        <v/>
      </c>
      <c r="BU38" s="47" t="str">
        <f t="shared" si="4"/>
        <v/>
      </c>
      <c r="BV38" s="47" t="str">
        <f>IF($W38="初級",VLOOKUP($BB38,参照データ!$C$43:$U$56,17,0),IF($W38="中級",VLOOKUP($BB38,参照データ!$C$43:$U$56,18,0),IF($W38="上級",VLOOKUP($BB38,参照データ!$C$43:$U$56,19,0),"")))</f>
        <v/>
      </c>
      <c r="BW38" s="686">
        <v>14</v>
      </c>
      <c r="BX38" s="66" t="s">
        <v>111</v>
      </c>
      <c r="BY38" s="136" t="str">
        <f t="shared" si="11"/>
        <v/>
      </c>
      <c r="BZ38" s="688" t="str">
        <f t="shared" ref="BZ38" si="75">IF(OR($BY38="",$BY39=""),"",IF($BY38&gt;$BY39,$BY38,$BY39))</f>
        <v/>
      </c>
      <c r="CB38" s="53" t="str">
        <f>IF(AND($AW38&gt;=参照データ!$C$67,$AW38&lt;=参照データ!$C$65),1,IF(AND($AW38&gt;=参照データ!$C$70,$AW38&lt;=参照データ!$C$68),2,IF(AND($AW38&gt;=参照データ!$C$73,$AW38&lt;=参照データ!$C$71),3,IF(AND($AW38&gt;=参照データ!$C$76,$AW38&lt;=参照データ!$C$74),4,IF(AND($AW38&gt;=参照データ!$C$79,$AW38&lt;=参照データ!$C$77),5,IF(AND($AW38&gt;0,$AW38&lt;=参照データ!$C$80),6,""))))))</f>
        <v/>
      </c>
      <c r="CC38" s="141" t="str">
        <f>IF($Z38="○",(VLOOKUP($CB38,参照データ!$D$65:$J$82,2,0)),"")</f>
        <v/>
      </c>
      <c r="CD38" s="71" t="str">
        <f t="shared" si="12"/>
        <v/>
      </c>
      <c r="CE38" s="70" t="str">
        <f>IF($AB38="○",(VLOOKUP($CB38,参照データ!$D$65:$J$82,3,0)),"")</f>
        <v/>
      </c>
      <c r="CF38" s="71" t="str">
        <f t="shared" si="13"/>
        <v/>
      </c>
      <c r="CG38" s="70" t="str">
        <f>IF($AD38="○",(VLOOKUP($CB38,参照データ!$D$65:$J$82,4,0)),"")</f>
        <v/>
      </c>
      <c r="CH38" s="71" t="str">
        <f t="shared" si="14"/>
        <v/>
      </c>
      <c r="CI38" s="70" t="str">
        <f>IF($AF38="○",(VLOOKUP($CB38,参照データ!$D$65:$J$82,5,0)),"")</f>
        <v/>
      </c>
      <c r="CJ38" s="71" t="str">
        <f t="shared" si="5"/>
        <v/>
      </c>
      <c r="CK38" s="70" t="str">
        <f>IF($AH38="○",(VLOOKUP($CB38,参照データ!$D$65:$J$82,6,0)),"")</f>
        <v/>
      </c>
      <c r="CL38" s="71" t="str">
        <f t="shared" si="15"/>
        <v/>
      </c>
      <c r="CM38" s="33" t="str">
        <f t="shared" si="16"/>
        <v/>
      </c>
      <c r="CN38" s="32" t="str">
        <f t="shared" si="17"/>
        <v/>
      </c>
      <c r="CO38" s="71" t="str">
        <f t="shared" si="18"/>
        <v/>
      </c>
      <c r="CP38" s="681">
        <v>14</v>
      </c>
      <c r="CQ38" s="79" t="s">
        <v>111</v>
      </c>
      <c r="CR38" s="80" t="str">
        <f t="shared" si="19"/>
        <v/>
      </c>
      <c r="CS38" s="683" t="e">
        <f>IF($CR38&gt;$CR39,VLOOKUP($CR38,参照データ!$D$65:$J$82,7,0),VLOOKUP($CR39,参照データ!$D$65:$J$82,7,0))</f>
        <v>#N/A</v>
      </c>
      <c r="CT38" s="308" t="str">
        <f>IFERROR(VLOOKUP($CS38,参照データ!$J$65:$M$82,4,0),"")</f>
        <v/>
      </c>
      <c r="CU38" s="70"/>
      <c r="CV38" s="172" t="str">
        <f t="shared" si="20"/>
        <v/>
      </c>
      <c r="CX38" s="32"/>
      <c r="CY38" s="161" t="str">
        <f t="shared" si="21"/>
        <v/>
      </c>
      <c r="CZ38" s="743">
        <v>14</v>
      </c>
      <c r="DA38" s="166" t="s">
        <v>111</v>
      </c>
      <c r="DB38" s="167" t="str">
        <f t="shared" si="42"/>
        <v/>
      </c>
      <c r="DC38" s="741" t="str">
        <f>IF(OR(DB38="",DB39=""),"",IF(DB38&gt;DB39,DB38,DB39))</f>
        <v/>
      </c>
      <c r="DD38" t="str">
        <f>IF($DE38="","",DATEDIF($AW38,参照データ!$D$19,"Y"))</f>
        <v/>
      </c>
      <c r="DE38" s="253" t="str">
        <f>IFERROR(IF($AX38="男子",VLOOKUP($DL38,参照データ!$D$88:$E$117,2,0),$DL38),0)</f>
        <v/>
      </c>
      <c r="DF38" s="84" t="str">
        <f>IF($Z38="選手権",(VLOOKUP($DE38,参照データ!$D$88:$K$117,3,0)),"")</f>
        <v/>
      </c>
      <c r="DG38" s="85" t="str">
        <f t="shared" si="6"/>
        <v/>
      </c>
      <c r="DH38" s="84" t="str">
        <f>IF($AB38="選手権",(VLOOKUP($DE38,参照データ!$D$88:$K$117,4,0)),"")</f>
        <v/>
      </c>
      <c r="DI38" s="85" t="str">
        <f t="shared" si="7"/>
        <v/>
      </c>
      <c r="DJ38" s="84" t="str">
        <f>IF($AD38="選手権",(VLOOKUP($DE38,参照データ!$D$88:$K$117,5,0)),"")</f>
        <v/>
      </c>
      <c r="DK38" s="85" t="str">
        <f t="shared" si="8"/>
        <v/>
      </c>
      <c r="DL38" s="53" t="str">
        <f>IF(AND($AW38&gt;=参照データ!$C$90,$AW38&lt;=参照データ!$C$88),1,IF(AND($AW38&gt;=参照データ!$C$93,$AW38&lt;=参照データ!$C$91),2,IF(AND($AW38&gt;=参照データ!$C$99,$AW38&lt;=参照データ!$C$97),3,IF(AND($AW38&gt;=参照データ!$C$105,$AW38&lt;=参照データ!$C$103),4,IF(AND($AW38&gt;=参照データ!$C$111,$AW38&lt;=参照データ!$C$109),5,IF(AND($AW38&gt;0,$AW38&lt;=参照データ!$C$112),6,""))))))</f>
        <v/>
      </c>
      <c r="DM38" s="84" t="str">
        <f>IF($AF38="選手権",(VLOOKUP($DL38,参照データ!$D$88:$K$117,6,0)),"")</f>
        <v/>
      </c>
      <c r="DN38" s="85" t="str">
        <f t="shared" si="9"/>
        <v/>
      </c>
      <c r="DO38" s="84" t="str">
        <f>IF($AH38="選手権",(VLOOKUP($DL38,参照データ!$D$88:$K$117,7,0)),"")</f>
        <v/>
      </c>
      <c r="DP38" s="85" t="str">
        <f t="shared" si="22"/>
        <v/>
      </c>
      <c r="DQ38" s="33" t="str">
        <f t="shared" si="23"/>
        <v/>
      </c>
      <c r="DR38" s="32" t="str">
        <f t="shared" si="24"/>
        <v/>
      </c>
      <c r="DS38" s="85" t="str">
        <f t="shared" si="25"/>
        <v/>
      </c>
      <c r="DT38" s="736">
        <v>14</v>
      </c>
      <c r="DU38" s="93" t="s">
        <v>111</v>
      </c>
      <c r="DV38" s="94" t="str">
        <f t="shared" si="35"/>
        <v/>
      </c>
      <c r="DW38" s="737" t="e">
        <f>IF($DV38&gt;$DV39,VLOOKUP($DV38,参照データ!$D$88:$K$117,8,0),VLOOKUP($DV39,参照データ!$D$88:$K$117,8,0))</f>
        <v>#N/A</v>
      </c>
      <c r="DX38" s="312" t="str">
        <f t="shared" ref="DX38" si="76">$DX37</f>
        <v/>
      </c>
      <c r="DZ38" s="491" t="str">
        <f t="shared" si="26"/>
        <v/>
      </c>
      <c r="EE38" s="35">
        <f>(COUNTIF($J38:$O38,"&lt;&gt;"))*参照データ!$E$3</f>
        <v>0</v>
      </c>
      <c r="EF38" s="219" t="str">
        <f>IF($Y38="○",参照データ!$E$4,"")</f>
        <v/>
      </c>
      <c r="EG38" s="18">
        <f>(SUM(COUNTIF($R38:$V38,{"入門","初級"}))*参照データ!$E$9)+(SUM(COUNTIF($R38:$V38,{"中級","上級"})*参照データ!$E$10))</f>
        <v>0</v>
      </c>
      <c r="EH38" s="18">
        <f>IFERROR(VLOOKUP($W38,参照データ!$D$9:$J$11,7,0),0)</f>
        <v>0</v>
      </c>
      <c r="EI38" s="18">
        <f>((COUNTIF($Z38:$AH38,"○"))*参照データ!$E$12)</f>
        <v>0</v>
      </c>
      <c r="EJ38" s="18" t="str">
        <f>(IF($AJ38="○",参照データ!$J$12,""))</f>
        <v/>
      </c>
      <c r="EM38" s="18">
        <f>((COUNTIF($Z38:$AH38,"選手権"))*参照データ!$E$13)</f>
        <v>0</v>
      </c>
      <c r="EN38" s="18" t="str">
        <f>(IF($AJ38="選手権",参照データ!$J$13,""))</f>
        <v/>
      </c>
      <c r="EO38" s="18">
        <f>(COUNTIF($AQ38:$AR38,"&lt;&gt;"))*参照データ!$H$3</f>
        <v>0</v>
      </c>
      <c r="EP38" s="18"/>
      <c r="EQ38" s="98">
        <f t="array" ref="EQ38">SUM(IF(ISERROR(EE38:EN38),0,(EE38:EN38)))</f>
        <v>0</v>
      </c>
      <c r="ER38" s="18"/>
      <c r="ES38" s="18">
        <f t="shared" si="10"/>
        <v>0</v>
      </c>
      <c r="ET38" s="18">
        <f t="shared" si="36"/>
        <v>0</v>
      </c>
      <c r="EU38" s="18">
        <f t="shared" si="27"/>
        <v>0</v>
      </c>
      <c r="EV38" s="18">
        <f t="shared" si="28"/>
        <v>0</v>
      </c>
      <c r="EW38" s="18">
        <f t="shared" si="29"/>
        <v>0</v>
      </c>
      <c r="EX38" s="18">
        <f t="shared" si="30"/>
        <v>0</v>
      </c>
      <c r="EY38" t="str">
        <f t="shared" si="31"/>
        <v/>
      </c>
    </row>
    <row r="39" spans="1:155" ht="18.75" customHeight="1" x14ac:dyDescent="0.2">
      <c r="A39">
        <v>28</v>
      </c>
      <c r="B39" s="14" t="str">
        <f>IF(D39="","",IF(D39="重複","",COUNTIF(B$12:$B38,"&gt;0")+1))</f>
        <v/>
      </c>
      <c r="C39" s="464"/>
      <c r="D39" s="177"/>
      <c r="E39" s="177"/>
      <c r="F39" s="31"/>
      <c r="G39" s="41"/>
      <c r="H39" s="351">
        <f t="shared" si="32"/>
        <v>0</v>
      </c>
      <c r="I39" s="193" t="str">
        <f>IF($AW39=0,"",DATEDIF($AW39,参照データ!$D$16,"Y"))</f>
        <v/>
      </c>
      <c r="J39" s="517"/>
      <c r="K39" s="517"/>
      <c r="L39" s="517"/>
      <c r="M39" s="517"/>
      <c r="N39" s="517"/>
      <c r="O39" s="518"/>
      <c r="P39" s="345"/>
      <c r="Q39" s="345"/>
      <c r="R39" s="519"/>
      <c r="S39" s="244"/>
      <c r="T39" s="244"/>
      <c r="U39" s="244"/>
      <c r="V39" s="245"/>
      <c r="W39" s="248"/>
      <c r="X39" s="250"/>
      <c r="Y39" s="345"/>
      <c r="Z39" s="388"/>
      <c r="AA39" s="346" t="str">
        <f>IF($Z39="○",VLOOKUP($CB39,参照データ!$D$65:$M$82,9,0),IF($Z39="選手権",VLOOKUP($DE39,参照データ!$D$88:$O$117,10,0),""))</f>
        <v/>
      </c>
      <c r="AB39" s="388"/>
      <c r="AC39" s="346" t="str">
        <f>IF($AB39="○",VLOOKUP($CB39,参照データ!$D$65:$M$82,10,0),IF($AB39="選手権",VLOOKUP($DE39,参照データ!$D$88:$O$117,11,0),""))</f>
        <v/>
      </c>
      <c r="AD39" s="388"/>
      <c r="AE39" s="346" t="str">
        <f>IF($AD39="○",VLOOKUP($CB39,参照データ!$D$65:$M$82,10,0),IF($AD39="選手権",VLOOKUP($DE39,参照データ!$D$88:$O$117,11,0),""))</f>
        <v/>
      </c>
      <c r="AF39" s="388"/>
      <c r="AG39" s="346" t="str">
        <f>IF($AF39="○",VLOOKUP($CB39,参照データ!$D$65:$M$82,10,0),IF($AF39="選手権",VLOOKUP($DL39,参照データ!$D$88:$O$117,12,0),""))</f>
        <v/>
      </c>
      <c r="AH39" s="388"/>
      <c r="AI39" s="346" t="str">
        <f>IF($AH39="○",VLOOKUP($CB39,参照データ!$D$65:$M$82,10,0),IF($AH39="選手権",VLOOKUP($DL39,参照データ!$D$88:$O$117,12,0),""))</f>
        <v/>
      </c>
      <c r="AJ39" s="388"/>
      <c r="AK39" s="511"/>
      <c r="AL39" s="346" t="str">
        <f t="shared" si="3"/>
        <v/>
      </c>
      <c r="AM39" s="392"/>
      <c r="AN39" s="391"/>
      <c r="AO39" s="391"/>
      <c r="AP39" s="447"/>
      <c r="AQ39" s="321"/>
      <c r="AR39" s="481"/>
      <c r="AS39" s="393"/>
      <c r="AT39" s="483"/>
      <c r="AW39">
        <f t="shared" si="45"/>
        <v>0</v>
      </c>
      <c r="AX39" t="str">
        <f t="shared" si="33"/>
        <v/>
      </c>
      <c r="AY39" s="132"/>
      <c r="BA39" s="513" t="str">
        <f>IF(団体情報・入力の仕方!$C$3&lt;&gt;"大田区大会","",IF(AW39=0,"",IF(I39&gt;=18,"○","")))</f>
        <v/>
      </c>
      <c r="BB39" s="53" t="str">
        <f>IF($AW39=0,"",IF(AND($I39&gt;=6,$I39&lt;=19),VLOOKUP($I39,参照データ!$B$24:$C$37,2,0),IF($I39&lt;6,6,19)))</f>
        <v/>
      </c>
      <c r="BC39" s="155" t="str">
        <f>IF($J39="○",VLOOKUP($BB39,参照データ!$C$24:$I$37,2,0),"")</f>
        <v/>
      </c>
      <c r="BD39" s="146" t="str">
        <f>IF($K39="○",VLOOKUP($BB39,参照データ!$C$24:$I$37,3,0),"")</f>
        <v/>
      </c>
      <c r="BE39" s="146" t="str">
        <f>IF($L39="○",VLOOKUP($BB39,参照データ!$C$24:$I$37,4,0),"")</f>
        <v/>
      </c>
      <c r="BF39" s="146" t="str">
        <f>IF($M39="○",VLOOKUP($BB39,参照データ!$C$24:$I$37,5,0),"")</f>
        <v/>
      </c>
      <c r="BG39" s="146" t="str">
        <f>IF($N39="20日",VLOOKUP($BB39,参照データ!$C$24:$I$37,6,0),"")</f>
        <v/>
      </c>
      <c r="BH39" s="156" t="str">
        <f>IF($O39="20日",VLOOKUP($BB39,参照データ!$C$24:$I$37,7,0),"")</f>
        <v/>
      </c>
      <c r="BI39" s="155" t="str">
        <f>IF($J39="21日",VLOOKUP($BB39,参照データ!$C$24:$I$37,2,0),"")</f>
        <v/>
      </c>
      <c r="BJ39" s="146" t="str">
        <f>IF($K39="21日",VLOOKUP($BB39,参照データ!$C$24:$I$37,3,0),"")</f>
        <v/>
      </c>
      <c r="BK39" s="146" t="str">
        <f>IF($L39="21日",VLOOKUP($BB39,参照データ!$C$24:$I$37,4,0),"")</f>
        <v/>
      </c>
      <c r="BL39" s="146" t="str">
        <f>IF($M39="21日",VLOOKUP($BB39,参照データ!$C$24:$I$37,5,0),"")</f>
        <v/>
      </c>
      <c r="BM39" s="146" t="str">
        <f>IF($N39="21日",VLOOKUP($BB39,参照データ!$C$24:$I$37,6,0),"")</f>
        <v/>
      </c>
      <c r="BN39" s="156" t="str">
        <f>IF($O39="21日",VLOOKUP($BB39,参照データ!$C$24:$I$37,7,0),"")</f>
        <v/>
      </c>
      <c r="BO39" s="223" t="str">
        <f t="shared" si="40"/>
        <v/>
      </c>
      <c r="BP39" s="154" t="str">
        <f>IF($R39="入門",VLOOKUP($BB39,参照データ!$C$43:$U$56,2,0),IF($R39="初級",VLOOKUP($BB39,参照データ!$C$43:$U$56,3,0),IF($R39="中級",VLOOKUP($BB39,参照データ!$C$43:$U$56,4,0),IF($R39="上級",VLOOKUP($BB39,参照データ!$C$43:$U$56,5,0),""))))</f>
        <v/>
      </c>
      <c r="BQ39" s="154" t="str">
        <f>IF($S39="初級",VLOOKUP($BB39,参照データ!$C$43:$U$56,6,0),IF($S39="中級",VLOOKUP($BB39,参照データ!$C$43:$U$56,7,0),IF($S39="上級",VLOOKUP($BB39,参照データ!$C$43:$U$56,8,0),"")))</f>
        <v/>
      </c>
      <c r="BR39" s="154" t="str">
        <f>IF($T39="初級",VLOOKUP($BB39,参照データ!$C$43:$U$56,9,0),IF($T39="上級",VLOOKUP($BB39,参照データ!$C$43:$U$56,10,0),""))</f>
        <v/>
      </c>
      <c r="BS39" s="154" t="str">
        <f>IF($U39="初級",VLOOKUP($BB39,参照データ!$C$43:$U$56,11,0),IF($U39="中級",VLOOKUP($BB39,参照データ!$C$43:$U$56,12,0),IF($U39="上級",VLOOKUP($BB39,参照データ!$C$43:$U$56,13,0),"")))</f>
        <v/>
      </c>
      <c r="BT39" s="154" t="str">
        <f>IF($V39="初級",VLOOKUP($BB39,参照データ!$C$43:$U$56,14,0),IF($V39="中級",VLOOKUP($BB39,参照データ!$C$43:$U$56,15,0),IF($V39="上級",VLOOKUP($BB39,参照データ!$C$43:$U$56,16,0),"")))</f>
        <v/>
      </c>
      <c r="BU39" s="47" t="str">
        <f t="shared" si="4"/>
        <v/>
      </c>
      <c r="BV39" s="47" t="str">
        <f>IF($W39="初級",VLOOKUP($BB39,参照データ!$C$43:$U$56,17,0),IF($W39="中級",VLOOKUP($BB39,参照データ!$C$43:$U$56,18,0),IF($W39="上級",VLOOKUP($BB39,参照データ!$C$43:$U$56,19,0),"")))</f>
        <v/>
      </c>
      <c r="BW39" s="687"/>
      <c r="BX39" s="65" t="s">
        <v>112</v>
      </c>
      <c r="BY39" s="135" t="str">
        <f t="shared" si="11"/>
        <v/>
      </c>
      <c r="BZ39" s="689"/>
      <c r="CB39" s="53" t="str">
        <f>IF(AND($AW39&gt;=参照データ!$C$67,$AW39&lt;=参照データ!$C$65),1,IF(AND($AW39&gt;=参照データ!$C$70,$AW39&lt;=参照データ!$C$68),2,IF(AND($AW39&gt;=参照データ!$C$73,$AW39&lt;=参照データ!$C$71),3,IF(AND($AW39&gt;=参照データ!$C$76,$AW39&lt;=参照データ!$C$74),4,IF(AND($AW39&gt;=参照データ!$C$79,$AW39&lt;=参照データ!$C$77),5,IF(AND($AW39&gt;0,$AW39&lt;=参照データ!$C$80),6,""))))))</f>
        <v/>
      </c>
      <c r="CC39" s="141" t="str">
        <f>IF($Z39="○",(VLOOKUP($CB39,参照データ!$D$65:$J$82,2,0)),"")</f>
        <v/>
      </c>
      <c r="CD39" s="71" t="str">
        <f t="shared" si="12"/>
        <v/>
      </c>
      <c r="CE39" s="70" t="str">
        <f>IF($AB39="○",(VLOOKUP($CB39,参照データ!$D$65:$J$82,3,0)),"")</f>
        <v/>
      </c>
      <c r="CF39" s="71" t="str">
        <f t="shared" si="13"/>
        <v/>
      </c>
      <c r="CG39" s="70" t="str">
        <f>IF($AD39="○",(VLOOKUP($CB39,参照データ!$D$65:$J$82,4,0)),"")</f>
        <v/>
      </c>
      <c r="CH39" s="71" t="str">
        <f t="shared" si="14"/>
        <v/>
      </c>
      <c r="CI39" s="70" t="str">
        <f>IF($AF39="○",(VLOOKUP($CB39,参照データ!$D$65:$J$82,5,0)),"")</f>
        <v/>
      </c>
      <c r="CJ39" s="71" t="str">
        <f t="shared" si="5"/>
        <v/>
      </c>
      <c r="CK39" s="70" t="str">
        <f>IF($AH39="○",(VLOOKUP($CB39,参照データ!$D$65:$J$82,6,0)),"")</f>
        <v/>
      </c>
      <c r="CL39" s="71" t="str">
        <f t="shared" si="15"/>
        <v/>
      </c>
      <c r="CM39" s="33" t="str">
        <f t="shared" si="16"/>
        <v/>
      </c>
      <c r="CN39" s="32" t="str">
        <f t="shared" si="17"/>
        <v/>
      </c>
      <c r="CO39" s="71" t="str">
        <f t="shared" si="18"/>
        <v/>
      </c>
      <c r="CP39" s="682"/>
      <c r="CQ39" s="77" t="s">
        <v>112</v>
      </c>
      <c r="CR39" s="78" t="str">
        <f t="shared" si="19"/>
        <v/>
      </c>
      <c r="CS39" s="684"/>
      <c r="CT39" s="308" t="str">
        <f t="shared" ref="CT39" si="77">$CT38</f>
        <v/>
      </c>
      <c r="CU39" s="70"/>
      <c r="CV39" s="172" t="str">
        <f t="shared" si="20"/>
        <v/>
      </c>
      <c r="CX39" s="32"/>
      <c r="CY39" s="161" t="str">
        <f t="shared" si="21"/>
        <v/>
      </c>
      <c r="CZ39" s="744"/>
      <c r="DA39" s="164" t="s">
        <v>112</v>
      </c>
      <c r="DB39" s="165" t="str">
        <f t="shared" si="42"/>
        <v/>
      </c>
      <c r="DC39" s="742"/>
      <c r="DD39" t="str">
        <f>IF($DE39="","",DATEDIF($AW39,参照データ!$D$19,"Y"))</f>
        <v/>
      </c>
      <c r="DE39" s="253" t="str">
        <f>IFERROR(IF($AX39="男子",VLOOKUP($DL39,参照データ!$D$88:$E$117,2,0),$DL39),0)</f>
        <v/>
      </c>
      <c r="DF39" s="84" t="str">
        <f>IF($Z39="選手権",(VLOOKUP($DE39,参照データ!$D$88:$K$117,3,0)),"")</f>
        <v/>
      </c>
      <c r="DG39" s="85" t="str">
        <f t="shared" si="6"/>
        <v/>
      </c>
      <c r="DH39" s="84" t="str">
        <f>IF($AB39="選手権",(VLOOKUP($DE39,参照データ!$D$88:$K$117,4,0)),"")</f>
        <v/>
      </c>
      <c r="DI39" s="85" t="str">
        <f t="shared" si="7"/>
        <v/>
      </c>
      <c r="DJ39" s="84" t="str">
        <f>IF($AD39="選手権",(VLOOKUP($DE39,参照データ!$D$88:$K$117,5,0)),"")</f>
        <v/>
      </c>
      <c r="DK39" s="85" t="str">
        <f t="shared" si="8"/>
        <v/>
      </c>
      <c r="DL39" s="53" t="str">
        <f>IF(AND($AW39&gt;=参照データ!$C$90,$AW39&lt;=参照データ!$C$88),1,IF(AND($AW39&gt;=参照データ!$C$93,$AW39&lt;=参照データ!$C$91),2,IF(AND($AW39&gt;=参照データ!$C$99,$AW39&lt;=参照データ!$C$97),3,IF(AND($AW39&gt;=参照データ!$C$105,$AW39&lt;=参照データ!$C$103),4,IF(AND($AW39&gt;=参照データ!$C$111,$AW39&lt;=参照データ!$C$109),5,IF(AND($AW39&gt;0,$AW39&lt;=参照データ!$C$112),6,""))))))</f>
        <v/>
      </c>
      <c r="DM39" s="84" t="str">
        <f>IF($AF39="選手権",(VLOOKUP($DL39,参照データ!$D$88:$K$117,6,0)),"")</f>
        <v/>
      </c>
      <c r="DN39" s="85" t="str">
        <f t="shared" si="9"/>
        <v/>
      </c>
      <c r="DO39" s="84" t="str">
        <f>IF($AH39="選手権",(VLOOKUP($DL39,参照データ!$D$88:$K$117,7,0)),"")</f>
        <v/>
      </c>
      <c r="DP39" s="85" t="str">
        <f t="shared" si="22"/>
        <v/>
      </c>
      <c r="DQ39" s="33" t="str">
        <f t="shared" si="23"/>
        <v/>
      </c>
      <c r="DR39" s="32" t="str">
        <f t="shared" si="24"/>
        <v/>
      </c>
      <c r="DS39" s="85" t="str">
        <f t="shared" si="25"/>
        <v/>
      </c>
      <c r="DT39" s="733"/>
      <c r="DU39" s="91" t="s">
        <v>112</v>
      </c>
      <c r="DV39" s="92" t="str">
        <f t="shared" si="35"/>
        <v/>
      </c>
      <c r="DW39" s="735"/>
      <c r="DX39" s="312" t="str">
        <f>IFERROR(VLOOKUP($DW39,参照データ!$K$88:$O$117,5,0),"")</f>
        <v/>
      </c>
      <c r="DZ39" s="491" t="str">
        <f t="shared" si="26"/>
        <v/>
      </c>
      <c r="EE39" s="35">
        <f>(COUNTIF($J39:$O39,"&lt;&gt;"))*参照データ!$E$3</f>
        <v>0</v>
      </c>
      <c r="EF39" s="219" t="str">
        <f>IF($Y39="○",参照データ!$E$4,"")</f>
        <v/>
      </c>
      <c r="EG39" s="18">
        <f>(SUM(COUNTIF($R39:$V39,{"入門","初級"}))*参照データ!$E$9)+(SUM(COUNTIF($R39:$V39,{"中級","上級"})*参照データ!$E$10))</f>
        <v>0</v>
      </c>
      <c r="EH39" s="18">
        <f>IFERROR(VLOOKUP($W39,参照データ!$D$9:$J$11,7,0),0)</f>
        <v>0</v>
      </c>
      <c r="EI39" s="18">
        <f>((COUNTIF($Z39:$AH39,"○"))*参照データ!$E$12)</f>
        <v>0</v>
      </c>
      <c r="EJ39" s="18" t="str">
        <f>(IF($AJ39="○",参照データ!$J$12,""))</f>
        <v/>
      </c>
      <c r="EM39" s="18">
        <f>((COUNTIF($Z39:$AH39,"選手権"))*参照データ!$E$13)</f>
        <v>0</v>
      </c>
      <c r="EN39" s="18" t="str">
        <f>(IF($AJ39="選手権",参照データ!$J$13,""))</f>
        <v/>
      </c>
      <c r="EO39" s="18">
        <f>(COUNTIF($AQ39:$AR39,"&lt;&gt;"))*参照データ!$H$3</f>
        <v>0</v>
      </c>
      <c r="EP39" s="18"/>
      <c r="EQ39" s="98">
        <f t="array" ref="EQ39">SUM(IF(ISERROR(EE39:EN39),0,(EE39:EN39)))</f>
        <v>0</v>
      </c>
      <c r="ER39" s="18"/>
      <c r="ES39" s="18">
        <f t="shared" si="10"/>
        <v>0</v>
      </c>
      <c r="ET39" s="18">
        <f t="shared" si="36"/>
        <v>0</v>
      </c>
      <c r="EU39" s="18">
        <f t="shared" si="27"/>
        <v>0</v>
      </c>
      <c r="EV39" s="18">
        <f t="shared" si="28"/>
        <v>0</v>
      </c>
      <c r="EW39" s="18">
        <f t="shared" si="29"/>
        <v>0</v>
      </c>
      <c r="EX39" s="18">
        <f t="shared" si="30"/>
        <v>0</v>
      </c>
      <c r="EY39" t="str">
        <f t="shared" si="31"/>
        <v/>
      </c>
    </row>
    <row r="40" spans="1:155" ht="18.75" customHeight="1" x14ac:dyDescent="0.2">
      <c r="A40">
        <v>29</v>
      </c>
      <c r="B40" s="14" t="str">
        <f>IF(D40="","",IF(D40="重複","",COUNTIF(B$12:$B39,"&gt;0")+1))</f>
        <v/>
      </c>
      <c r="C40" s="464"/>
      <c r="D40" s="177"/>
      <c r="E40" s="177"/>
      <c r="F40" s="31"/>
      <c r="G40" s="41"/>
      <c r="H40" s="351">
        <f t="shared" si="32"/>
        <v>0</v>
      </c>
      <c r="I40" s="193" t="str">
        <f>IF($AW40=0,"",DATEDIF($AW40,参照データ!$D$16,"Y"))</f>
        <v/>
      </c>
      <c r="J40" s="517"/>
      <c r="K40" s="517"/>
      <c r="L40" s="517"/>
      <c r="M40" s="517"/>
      <c r="N40" s="517"/>
      <c r="O40" s="518"/>
      <c r="P40" s="345"/>
      <c r="Q40" s="345"/>
      <c r="R40" s="519"/>
      <c r="S40" s="244"/>
      <c r="T40" s="244"/>
      <c r="U40" s="244"/>
      <c r="V40" s="245"/>
      <c r="W40" s="248"/>
      <c r="X40" s="250"/>
      <c r="Y40" s="345"/>
      <c r="Z40" s="388"/>
      <c r="AA40" s="346" t="str">
        <f>IF($Z40="○",VLOOKUP($CB40,参照データ!$D$65:$M$82,9,0),IF($Z40="選手権",VLOOKUP($DE40,参照データ!$D$88:$O$117,10,0),""))</f>
        <v/>
      </c>
      <c r="AB40" s="388"/>
      <c r="AC40" s="346" t="str">
        <f>IF($AB40="○",VLOOKUP($CB40,参照データ!$D$65:$M$82,10,0),IF($AB40="選手権",VLOOKUP($DE40,参照データ!$D$88:$O$117,11,0),""))</f>
        <v/>
      </c>
      <c r="AD40" s="388"/>
      <c r="AE40" s="346" t="str">
        <f>IF($AD40="○",VLOOKUP($CB40,参照データ!$D$65:$M$82,10,0),IF($AD40="選手権",VLOOKUP($DE40,参照データ!$D$88:$O$117,11,0),""))</f>
        <v/>
      </c>
      <c r="AF40" s="388"/>
      <c r="AG40" s="346" t="str">
        <f>IF($AF40="○",VLOOKUP($CB40,参照データ!$D$65:$M$82,10,0),IF($AF40="選手権",VLOOKUP($DL40,参照データ!$D$88:$O$117,12,0),""))</f>
        <v/>
      </c>
      <c r="AH40" s="388"/>
      <c r="AI40" s="346" t="str">
        <f>IF($AH40="○",VLOOKUP($CB40,参照データ!$D$65:$M$82,10,0),IF($AH40="選手権",VLOOKUP($DL40,参照データ!$D$88:$O$117,12,0),""))</f>
        <v/>
      </c>
      <c r="AJ40" s="388"/>
      <c r="AK40" s="511"/>
      <c r="AL40" s="346" t="str">
        <f t="shared" si="3"/>
        <v/>
      </c>
      <c r="AM40" s="392"/>
      <c r="AN40" s="391"/>
      <c r="AO40" s="391"/>
      <c r="AP40" s="447"/>
      <c r="AQ40" s="321"/>
      <c r="AR40" s="481"/>
      <c r="AS40" s="393"/>
      <c r="AT40" s="483"/>
      <c r="AW40">
        <f t="shared" si="45"/>
        <v>0</v>
      </c>
      <c r="AX40" t="str">
        <f t="shared" si="33"/>
        <v/>
      </c>
      <c r="AY40" s="132"/>
      <c r="BA40" s="513" t="str">
        <f>IF(団体情報・入力の仕方!$C$3&lt;&gt;"大田区大会","",IF(AW40=0,"",IF(I40&gt;=18,"○","")))</f>
        <v/>
      </c>
      <c r="BB40" s="53" t="str">
        <f>IF($AW40=0,"",IF(AND($I40&gt;=6,$I40&lt;=19),VLOOKUP($I40,参照データ!$B$24:$C$37,2,0),IF($I40&lt;6,6,19)))</f>
        <v/>
      </c>
      <c r="BC40" s="155" t="str">
        <f>IF($J40="○",VLOOKUP($BB40,参照データ!$C$24:$I$37,2,0),"")</f>
        <v/>
      </c>
      <c r="BD40" s="146" t="str">
        <f>IF($K40="○",VLOOKUP($BB40,参照データ!$C$24:$I$37,3,0),"")</f>
        <v/>
      </c>
      <c r="BE40" s="146" t="str">
        <f>IF($L40="○",VLOOKUP($BB40,参照データ!$C$24:$I$37,4,0),"")</f>
        <v/>
      </c>
      <c r="BF40" s="146" t="str">
        <f>IF($M40="○",VLOOKUP($BB40,参照データ!$C$24:$I$37,5,0),"")</f>
        <v/>
      </c>
      <c r="BG40" s="146" t="str">
        <f>IF($N40="20日",VLOOKUP($BB40,参照データ!$C$24:$I$37,6,0),"")</f>
        <v/>
      </c>
      <c r="BH40" s="156" t="str">
        <f>IF($O40="20日",VLOOKUP($BB40,参照データ!$C$24:$I$37,7,0),"")</f>
        <v/>
      </c>
      <c r="BI40" s="155" t="str">
        <f>IF($J40="21日",VLOOKUP($BB40,参照データ!$C$24:$I$37,2,0),"")</f>
        <v/>
      </c>
      <c r="BJ40" s="146" t="str">
        <f>IF($K40="21日",VLOOKUP($BB40,参照データ!$C$24:$I$37,3,0),"")</f>
        <v/>
      </c>
      <c r="BK40" s="146" t="str">
        <f>IF($L40="21日",VLOOKUP($BB40,参照データ!$C$24:$I$37,4,0),"")</f>
        <v/>
      </c>
      <c r="BL40" s="146" t="str">
        <f>IF($M40="21日",VLOOKUP($BB40,参照データ!$C$24:$I$37,5,0),"")</f>
        <v/>
      </c>
      <c r="BM40" s="146" t="str">
        <f>IF($N40="21日",VLOOKUP($BB40,参照データ!$C$24:$I$37,6,0),"")</f>
        <v/>
      </c>
      <c r="BN40" s="156" t="str">
        <f>IF($O40="21日",VLOOKUP($BB40,参照データ!$C$24:$I$37,7,0),"")</f>
        <v/>
      </c>
      <c r="BO40" s="223" t="str">
        <f t="shared" si="40"/>
        <v/>
      </c>
      <c r="BP40" s="154" t="str">
        <f>IF($R40="入門",VLOOKUP($BB40,参照データ!$C$43:$U$56,2,0),IF($R40="初級",VLOOKUP($BB40,参照データ!$C$43:$U$56,3,0),IF($R40="中級",VLOOKUP($BB40,参照データ!$C$43:$U$56,4,0),IF($R40="上級",VLOOKUP($BB40,参照データ!$C$43:$U$56,5,0),""))))</f>
        <v/>
      </c>
      <c r="BQ40" s="154" t="str">
        <f>IF($S40="初級",VLOOKUP($BB40,参照データ!$C$43:$U$56,6,0),IF($S40="中級",VLOOKUP($BB40,参照データ!$C$43:$U$56,7,0),IF($S40="上級",VLOOKUP($BB40,参照データ!$C$43:$U$56,8,0),"")))</f>
        <v/>
      </c>
      <c r="BR40" s="154" t="str">
        <f>IF($T40="初級",VLOOKUP($BB40,参照データ!$C$43:$U$56,9,0),IF($T40="上級",VLOOKUP($BB40,参照データ!$C$43:$U$56,10,0),""))</f>
        <v/>
      </c>
      <c r="BS40" s="154" t="str">
        <f>IF($U40="初級",VLOOKUP($BB40,参照データ!$C$43:$U$56,11,0),IF($U40="中級",VLOOKUP($BB40,参照データ!$C$43:$U$56,12,0),IF($U40="上級",VLOOKUP($BB40,参照データ!$C$43:$U$56,13,0),"")))</f>
        <v/>
      </c>
      <c r="BT40" s="154" t="str">
        <f>IF($V40="初級",VLOOKUP($BB40,参照データ!$C$43:$U$56,14,0),IF($V40="中級",VLOOKUP($BB40,参照データ!$C$43:$U$56,15,0),IF($V40="上級",VLOOKUP($BB40,参照データ!$C$43:$U$56,16,0),"")))</f>
        <v/>
      </c>
      <c r="BU40" s="47" t="str">
        <f t="shared" si="4"/>
        <v/>
      </c>
      <c r="BV40" s="47" t="str">
        <f>IF($W40="初級",VLOOKUP($BB40,参照データ!$C$43:$U$56,17,0),IF($W40="中級",VLOOKUP($BB40,参照データ!$C$43:$U$56,18,0),IF($W40="上級",VLOOKUP($BB40,参照データ!$C$43:$U$56,19,0),"")))</f>
        <v/>
      </c>
      <c r="BW40" s="686">
        <v>15</v>
      </c>
      <c r="BX40" s="66" t="s">
        <v>113</v>
      </c>
      <c r="BY40" s="136" t="str">
        <f t="shared" si="11"/>
        <v/>
      </c>
      <c r="BZ40" s="688" t="str">
        <f t="shared" ref="BZ40" si="78">IF(OR($BY40="",$BY41=""),"",IF($BY40&gt;$BY41,$BY40,$BY41))</f>
        <v/>
      </c>
      <c r="CB40" s="53" t="str">
        <f>IF(AND($AW40&gt;=参照データ!$C$67,$AW40&lt;=参照データ!$C$65),1,IF(AND($AW40&gt;=参照データ!$C$70,$AW40&lt;=参照データ!$C$68),2,IF(AND($AW40&gt;=参照データ!$C$73,$AW40&lt;=参照データ!$C$71),3,IF(AND($AW40&gt;=参照データ!$C$76,$AW40&lt;=参照データ!$C$74),4,IF(AND($AW40&gt;=参照データ!$C$79,$AW40&lt;=参照データ!$C$77),5,IF(AND($AW40&gt;0,$AW40&lt;=参照データ!$C$80),6,""))))))</f>
        <v/>
      </c>
      <c r="CC40" s="141" t="str">
        <f>IF($Z40="○",(VLOOKUP($CB40,参照データ!$D$65:$J$82,2,0)),"")</f>
        <v/>
      </c>
      <c r="CD40" s="71" t="str">
        <f t="shared" si="12"/>
        <v/>
      </c>
      <c r="CE40" s="70" t="str">
        <f>IF($AB40="○",(VLOOKUP($CB40,参照データ!$D$65:$J$82,3,0)),"")</f>
        <v/>
      </c>
      <c r="CF40" s="71" t="str">
        <f t="shared" si="13"/>
        <v/>
      </c>
      <c r="CG40" s="70" t="str">
        <f>IF($AD40="○",(VLOOKUP($CB40,参照データ!$D$65:$J$82,4,0)),"")</f>
        <v/>
      </c>
      <c r="CH40" s="71" t="str">
        <f t="shared" si="14"/>
        <v/>
      </c>
      <c r="CI40" s="70" t="str">
        <f>IF($AF40="○",(VLOOKUP($CB40,参照データ!$D$65:$J$82,5,0)),"")</f>
        <v/>
      </c>
      <c r="CJ40" s="71" t="str">
        <f t="shared" si="5"/>
        <v/>
      </c>
      <c r="CK40" s="70" t="str">
        <f>IF($AH40="○",(VLOOKUP($CB40,参照データ!$D$65:$J$82,6,0)),"")</f>
        <v/>
      </c>
      <c r="CL40" s="71" t="str">
        <f t="shared" si="15"/>
        <v/>
      </c>
      <c r="CM40" s="33" t="str">
        <f t="shared" si="16"/>
        <v/>
      </c>
      <c r="CN40" s="32" t="str">
        <f t="shared" si="17"/>
        <v/>
      </c>
      <c r="CO40" s="71" t="str">
        <f t="shared" si="18"/>
        <v/>
      </c>
      <c r="CP40" s="681">
        <v>15</v>
      </c>
      <c r="CQ40" s="79" t="s">
        <v>113</v>
      </c>
      <c r="CR40" s="80" t="str">
        <f t="shared" si="19"/>
        <v/>
      </c>
      <c r="CS40" s="683" t="e">
        <f>IF($CR40&gt;$CR41,VLOOKUP($CR40,参照データ!$D$65:$J$82,7,0),VLOOKUP($CR41,参照データ!$D$65:$J$82,7,0))</f>
        <v>#N/A</v>
      </c>
      <c r="CT40" s="308" t="str">
        <f>IFERROR(VLOOKUP($CS40,参照データ!$J$65:$M$82,4,0),"")</f>
        <v/>
      </c>
      <c r="CU40" s="70"/>
      <c r="CV40" s="172" t="str">
        <f t="shared" si="20"/>
        <v/>
      </c>
      <c r="CX40" s="32"/>
      <c r="CY40" s="161" t="str">
        <f t="shared" si="21"/>
        <v/>
      </c>
      <c r="CZ40" s="743">
        <v>15</v>
      </c>
      <c r="DA40" s="166" t="s">
        <v>113</v>
      </c>
      <c r="DB40" s="167" t="str">
        <f t="shared" si="42"/>
        <v/>
      </c>
      <c r="DC40" s="741" t="str">
        <f>IF(OR(DB40="",DB41=""),"",IF(DB40&gt;DB41,DB40,DB41))</f>
        <v/>
      </c>
      <c r="DD40" t="str">
        <f>IF($DE40="","",DATEDIF($AW40,参照データ!$D$19,"Y"))</f>
        <v/>
      </c>
      <c r="DE40" s="253" t="str">
        <f>IFERROR(IF($AX40="男子",VLOOKUP($DL40,参照データ!$D$88:$E$117,2,0),$DL40),0)</f>
        <v/>
      </c>
      <c r="DF40" s="84" t="str">
        <f>IF($Z40="選手権",(VLOOKUP($DE40,参照データ!$D$88:$K$117,3,0)),"")</f>
        <v/>
      </c>
      <c r="DG40" s="85" t="str">
        <f t="shared" si="6"/>
        <v/>
      </c>
      <c r="DH40" s="84" t="str">
        <f>IF($AB40="選手権",(VLOOKUP($DE40,参照データ!$D$88:$K$117,4,0)),"")</f>
        <v/>
      </c>
      <c r="DI40" s="85" t="str">
        <f t="shared" si="7"/>
        <v/>
      </c>
      <c r="DJ40" s="84" t="str">
        <f>IF($AD40="選手権",(VLOOKUP($DE40,参照データ!$D$88:$K$117,5,0)),"")</f>
        <v/>
      </c>
      <c r="DK40" s="85" t="str">
        <f t="shared" si="8"/>
        <v/>
      </c>
      <c r="DL40" s="53" t="str">
        <f>IF(AND($AW40&gt;=参照データ!$C$90,$AW40&lt;=参照データ!$C$88),1,IF(AND($AW40&gt;=参照データ!$C$93,$AW40&lt;=参照データ!$C$91),2,IF(AND($AW40&gt;=参照データ!$C$99,$AW40&lt;=参照データ!$C$97),3,IF(AND($AW40&gt;=参照データ!$C$105,$AW40&lt;=参照データ!$C$103),4,IF(AND($AW40&gt;=参照データ!$C$111,$AW40&lt;=参照データ!$C$109),5,IF(AND($AW40&gt;0,$AW40&lt;=参照データ!$C$112),6,""))))))</f>
        <v/>
      </c>
      <c r="DM40" s="84" t="str">
        <f>IF($AF40="選手権",(VLOOKUP($DL40,参照データ!$D$88:$K$117,6,0)),"")</f>
        <v/>
      </c>
      <c r="DN40" s="85" t="str">
        <f t="shared" si="9"/>
        <v/>
      </c>
      <c r="DO40" s="84" t="str">
        <f>IF($AH40="選手権",(VLOOKUP($DL40,参照データ!$D$88:$K$117,7,0)),"")</f>
        <v/>
      </c>
      <c r="DP40" s="85" t="str">
        <f t="shared" si="22"/>
        <v/>
      </c>
      <c r="DQ40" s="33" t="str">
        <f t="shared" si="23"/>
        <v/>
      </c>
      <c r="DR40" s="32" t="str">
        <f t="shared" si="24"/>
        <v/>
      </c>
      <c r="DS40" s="85" t="str">
        <f t="shared" si="25"/>
        <v/>
      </c>
      <c r="DT40" s="736">
        <v>15</v>
      </c>
      <c r="DU40" s="93" t="s">
        <v>113</v>
      </c>
      <c r="DV40" s="94" t="str">
        <f t="shared" si="35"/>
        <v/>
      </c>
      <c r="DW40" s="737" t="e">
        <f>IF($DV40&gt;$DV41,VLOOKUP($DV40,参照データ!$D$88:$K$117,8,0),VLOOKUP($DV41,参照データ!$D$88:$K$117,8,0))</f>
        <v>#N/A</v>
      </c>
      <c r="DX40" s="312" t="str">
        <f t="shared" ref="DX40" si="79">$DX39</f>
        <v/>
      </c>
      <c r="DZ40" s="491" t="str">
        <f t="shared" si="26"/>
        <v/>
      </c>
      <c r="EE40" s="35">
        <f>(COUNTIF($J40:$O40,"&lt;&gt;"))*参照データ!$E$3</f>
        <v>0</v>
      </c>
      <c r="EF40" s="219" t="str">
        <f>IF($Y40="○",参照データ!$E$4,"")</f>
        <v/>
      </c>
      <c r="EG40" s="18">
        <f>(SUM(COUNTIF($R40:$V40,{"入門","初級"}))*参照データ!$E$9)+(SUM(COUNTIF($R40:$V40,{"中級","上級"})*参照データ!$E$10))</f>
        <v>0</v>
      </c>
      <c r="EH40" s="18">
        <f>IFERROR(VLOOKUP($W40,参照データ!$D$9:$J$11,7,0),0)</f>
        <v>0</v>
      </c>
      <c r="EI40" s="18">
        <f>((COUNTIF($Z40:$AH40,"○"))*参照データ!$E$12)</f>
        <v>0</v>
      </c>
      <c r="EJ40" s="18" t="str">
        <f>(IF($AJ40="○",参照データ!$J$12,""))</f>
        <v/>
      </c>
      <c r="EM40" s="18">
        <f>((COUNTIF($Z40:$AH40,"選手権"))*参照データ!$E$13)</f>
        <v>0</v>
      </c>
      <c r="EN40" s="18" t="str">
        <f>(IF($AJ40="選手権",参照データ!$J$13,""))</f>
        <v/>
      </c>
      <c r="EO40" s="18">
        <f>(COUNTIF($AQ40:$AR40,"&lt;&gt;"))*参照データ!$H$3</f>
        <v>0</v>
      </c>
      <c r="EP40" s="18"/>
      <c r="EQ40" s="98">
        <f t="array" ref="EQ40">SUM(IF(ISERROR(EE40:EN40),0,(EE40:EN40)))</f>
        <v>0</v>
      </c>
      <c r="ER40" s="18"/>
      <c r="ES40" s="18">
        <f t="shared" si="10"/>
        <v>0</v>
      </c>
      <c r="ET40" s="18">
        <f t="shared" si="36"/>
        <v>0</v>
      </c>
      <c r="EU40" s="18">
        <f t="shared" si="27"/>
        <v>0</v>
      </c>
      <c r="EV40" s="18">
        <f t="shared" si="28"/>
        <v>0</v>
      </c>
      <c r="EW40" s="18">
        <f t="shared" si="29"/>
        <v>0</v>
      </c>
      <c r="EX40" s="18">
        <f t="shared" si="30"/>
        <v>0</v>
      </c>
      <c r="EY40" t="str">
        <f t="shared" si="31"/>
        <v/>
      </c>
    </row>
    <row r="41" spans="1:155" ht="18.75" customHeight="1" x14ac:dyDescent="0.2">
      <c r="A41">
        <v>30</v>
      </c>
      <c r="B41" s="14" t="str">
        <f>IF(D41="","",IF(D41="重複","",COUNTIF(B$12:$B40,"&gt;0")+1))</f>
        <v/>
      </c>
      <c r="C41" s="464"/>
      <c r="D41" s="177"/>
      <c r="E41" s="177"/>
      <c r="F41" s="31"/>
      <c r="G41" s="41"/>
      <c r="H41" s="351">
        <f t="shared" si="32"/>
        <v>0</v>
      </c>
      <c r="I41" s="193" t="str">
        <f>IF($AW41=0,"",DATEDIF($AW41,参照データ!$D$16,"Y"))</f>
        <v/>
      </c>
      <c r="J41" s="517"/>
      <c r="K41" s="517"/>
      <c r="L41" s="517"/>
      <c r="M41" s="517"/>
      <c r="N41" s="517"/>
      <c r="O41" s="518"/>
      <c r="P41" s="345"/>
      <c r="Q41" s="345"/>
      <c r="R41" s="519"/>
      <c r="S41" s="244"/>
      <c r="T41" s="244"/>
      <c r="U41" s="244"/>
      <c r="V41" s="245"/>
      <c r="W41" s="248"/>
      <c r="X41" s="250"/>
      <c r="Y41" s="345"/>
      <c r="Z41" s="388"/>
      <c r="AA41" s="346" t="str">
        <f>IF($Z41="○",VLOOKUP($CB41,参照データ!$D$65:$M$82,9,0),IF($Z41="選手権",VLOOKUP($DE41,参照データ!$D$88:$O$117,10,0),""))</f>
        <v/>
      </c>
      <c r="AB41" s="388"/>
      <c r="AC41" s="346" t="str">
        <f>IF($AB41="○",VLOOKUP($CB41,参照データ!$D$65:$M$82,10,0),IF($AB41="選手権",VLOOKUP($DE41,参照データ!$D$88:$O$117,11,0),""))</f>
        <v/>
      </c>
      <c r="AD41" s="388"/>
      <c r="AE41" s="346" t="str">
        <f>IF($AD41="○",VLOOKUP($CB41,参照データ!$D$65:$M$82,10,0),IF($AD41="選手権",VLOOKUP($DE41,参照データ!$D$88:$O$117,11,0),""))</f>
        <v/>
      </c>
      <c r="AF41" s="388"/>
      <c r="AG41" s="346" t="str">
        <f>IF($AF41="○",VLOOKUP($CB41,参照データ!$D$65:$M$82,10,0),IF($AF41="選手権",VLOOKUP($DL41,参照データ!$D$88:$O$117,12,0),""))</f>
        <v/>
      </c>
      <c r="AH41" s="388"/>
      <c r="AI41" s="346" t="str">
        <f>IF($AH41="○",VLOOKUP($CB41,参照データ!$D$65:$M$82,10,0),IF($AH41="選手権",VLOOKUP($DL41,参照データ!$D$88:$O$117,12,0),""))</f>
        <v/>
      </c>
      <c r="AJ41" s="388"/>
      <c r="AK41" s="511"/>
      <c r="AL41" s="346" t="str">
        <f t="shared" si="3"/>
        <v/>
      </c>
      <c r="AM41" s="392"/>
      <c r="AN41" s="391"/>
      <c r="AO41" s="391"/>
      <c r="AP41" s="447"/>
      <c r="AQ41" s="321"/>
      <c r="AR41" s="481"/>
      <c r="AS41" s="393"/>
      <c r="AT41" s="483"/>
      <c r="AW41">
        <f t="shared" si="45"/>
        <v>0</v>
      </c>
      <c r="AX41" t="str">
        <f t="shared" si="33"/>
        <v/>
      </c>
      <c r="AY41" s="132"/>
      <c r="BA41" s="513" t="str">
        <f>IF(団体情報・入力の仕方!$C$3&lt;&gt;"大田区大会","",IF(AW41=0,"",IF(I41&gt;=18,"○","")))</f>
        <v/>
      </c>
      <c r="BB41" s="53" t="str">
        <f>IF($AW41=0,"",IF(AND($I41&gt;=6,$I41&lt;=19),VLOOKUP($I41,参照データ!$B$24:$C$37,2,0),IF($I41&lt;6,6,19)))</f>
        <v/>
      </c>
      <c r="BC41" s="155" t="str">
        <f>IF($J41="○",VLOOKUP($BB41,参照データ!$C$24:$I$37,2,0),"")</f>
        <v/>
      </c>
      <c r="BD41" s="146" t="str">
        <f>IF($K41="○",VLOOKUP($BB41,参照データ!$C$24:$I$37,3,0),"")</f>
        <v/>
      </c>
      <c r="BE41" s="146" t="str">
        <f>IF($L41="○",VLOOKUP($BB41,参照データ!$C$24:$I$37,4,0),"")</f>
        <v/>
      </c>
      <c r="BF41" s="146" t="str">
        <f>IF($M41="○",VLOOKUP($BB41,参照データ!$C$24:$I$37,5,0),"")</f>
        <v/>
      </c>
      <c r="BG41" s="146" t="str">
        <f>IF($N41="20日",VLOOKUP($BB41,参照データ!$C$24:$I$37,6,0),"")</f>
        <v/>
      </c>
      <c r="BH41" s="156" t="str">
        <f>IF($O41="20日",VLOOKUP($BB41,参照データ!$C$24:$I$37,7,0),"")</f>
        <v/>
      </c>
      <c r="BI41" s="155" t="str">
        <f>IF($J41="21日",VLOOKUP($BB41,参照データ!$C$24:$I$37,2,0),"")</f>
        <v/>
      </c>
      <c r="BJ41" s="146" t="str">
        <f>IF($K41="21日",VLOOKUP($BB41,参照データ!$C$24:$I$37,3,0),"")</f>
        <v/>
      </c>
      <c r="BK41" s="146" t="str">
        <f>IF($L41="21日",VLOOKUP($BB41,参照データ!$C$24:$I$37,4,0),"")</f>
        <v/>
      </c>
      <c r="BL41" s="146" t="str">
        <f>IF($M41="21日",VLOOKUP($BB41,参照データ!$C$24:$I$37,5,0),"")</f>
        <v/>
      </c>
      <c r="BM41" s="146" t="str">
        <f>IF($N41="21日",VLOOKUP($BB41,参照データ!$C$24:$I$37,6,0),"")</f>
        <v/>
      </c>
      <c r="BN41" s="156" t="str">
        <f>IF($O41="21日",VLOOKUP($BB41,参照データ!$C$24:$I$37,7,0),"")</f>
        <v/>
      </c>
      <c r="BO41" s="223" t="str">
        <f t="shared" si="40"/>
        <v/>
      </c>
      <c r="BP41" s="154" t="str">
        <f>IF($R41="入門",VLOOKUP($BB41,参照データ!$C$43:$U$56,2,0),IF($R41="初級",VLOOKUP($BB41,参照データ!$C$43:$U$56,3,0),IF($R41="中級",VLOOKUP($BB41,参照データ!$C$43:$U$56,4,0),IF($R41="上級",VLOOKUP($BB41,参照データ!$C$43:$U$56,5,0),""))))</f>
        <v/>
      </c>
      <c r="BQ41" s="154" t="str">
        <f>IF($S41="初級",VLOOKUP($BB41,参照データ!$C$43:$U$56,6,0),IF($S41="中級",VLOOKUP($BB41,参照データ!$C$43:$U$56,7,0),IF($S41="上級",VLOOKUP($BB41,参照データ!$C$43:$U$56,8,0),"")))</f>
        <v/>
      </c>
      <c r="BR41" s="154" t="str">
        <f>IF($T41="初級",VLOOKUP($BB41,参照データ!$C$43:$U$56,9,0),IF($T41="上級",VLOOKUP($BB41,参照データ!$C$43:$U$56,10,0),""))</f>
        <v/>
      </c>
      <c r="BS41" s="154" t="str">
        <f>IF($U41="初級",VLOOKUP($BB41,参照データ!$C$43:$U$56,11,0),IF($U41="中級",VLOOKUP($BB41,参照データ!$C$43:$U$56,12,0),IF($U41="上級",VLOOKUP($BB41,参照データ!$C$43:$U$56,13,0),"")))</f>
        <v/>
      </c>
      <c r="BT41" s="154" t="str">
        <f>IF($V41="初級",VLOOKUP($BB41,参照データ!$C$43:$U$56,14,0),IF($V41="中級",VLOOKUP($BB41,参照データ!$C$43:$U$56,15,0),IF($V41="上級",VLOOKUP($BB41,参照データ!$C$43:$U$56,16,0),"")))</f>
        <v/>
      </c>
      <c r="BU41" s="47" t="str">
        <f t="shared" si="4"/>
        <v/>
      </c>
      <c r="BV41" s="47" t="str">
        <f>IF($W41="初級",VLOOKUP($BB41,参照データ!$C$43:$U$56,17,0),IF($W41="中級",VLOOKUP($BB41,参照データ!$C$43:$U$56,18,0),IF($W41="上級",VLOOKUP($BB41,参照データ!$C$43:$U$56,19,0),"")))</f>
        <v/>
      </c>
      <c r="BW41" s="687"/>
      <c r="BX41" s="65" t="s">
        <v>114</v>
      </c>
      <c r="BY41" s="135" t="str">
        <f t="shared" si="11"/>
        <v/>
      </c>
      <c r="BZ41" s="689"/>
      <c r="CB41" s="53" t="str">
        <f>IF(AND($AW41&gt;=参照データ!$C$67,$AW41&lt;=参照データ!$C$65),1,IF(AND($AW41&gt;=参照データ!$C$70,$AW41&lt;=参照データ!$C$68),2,IF(AND($AW41&gt;=参照データ!$C$73,$AW41&lt;=参照データ!$C$71),3,IF(AND($AW41&gt;=参照データ!$C$76,$AW41&lt;=参照データ!$C$74),4,IF(AND($AW41&gt;=参照データ!$C$79,$AW41&lt;=参照データ!$C$77),5,IF(AND($AW41&gt;0,$AW41&lt;=参照データ!$C$80),6,""))))))</f>
        <v/>
      </c>
      <c r="CC41" s="141" t="str">
        <f>IF($Z41="○",(VLOOKUP($CB41,参照データ!$D$65:$J$82,2,0)),"")</f>
        <v/>
      </c>
      <c r="CD41" s="71" t="str">
        <f t="shared" si="12"/>
        <v/>
      </c>
      <c r="CE41" s="70" t="str">
        <f>IF($AB41="○",(VLOOKUP($CB41,参照データ!$D$65:$J$82,3,0)),"")</f>
        <v/>
      </c>
      <c r="CF41" s="71" t="str">
        <f t="shared" si="13"/>
        <v/>
      </c>
      <c r="CG41" s="70" t="str">
        <f>IF($AD41="○",(VLOOKUP($CB41,参照データ!$D$65:$J$82,4,0)),"")</f>
        <v/>
      </c>
      <c r="CH41" s="71" t="str">
        <f t="shared" si="14"/>
        <v/>
      </c>
      <c r="CI41" s="70" t="str">
        <f>IF($AF41="○",(VLOOKUP($CB41,参照データ!$D$65:$J$82,5,0)),"")</f>
        <v/>
      </c>
      <c r="CJ41" s="71" t="str">
        <f t="shared" si="5"/>
        <v/>
      </c>
      <c r="CK41" s="70" t="str">
        <f>IF($AH41="○",(VLOOKUP($CB41,参照データ!$D$65:$J$82,6,0)),"")</f>
        <v/>
      </c>
      <c r="CL41" s="71" t="str">
        <f t="shared" si="15"/>
        <v/>
      </c>
      <c r="CM41" s="33" t="str">
        <f t="shared" si="16"/>
        <v/>
      </c>
      <c r="CN41" s="32" t="str">
        <f t="shared" si="17"/>
        <v/>
      </c>
      <c r="CO41" s="71" t="str">
        <f t="shared" si="18"/>
        <v/>
      </c>
      <c r="CP41" s="682"/>
      <c r="CQ41" s="77" t="s">
        <v>114</v>
      </c>
      <c r="CR41" s="78" t="str">
        <f t="shared" si="19"/>
        <v/>
      </c>
      <c r="CS41" s="684"/>
      <c r="CT41" s="308" t="str">
        <f t="shared" ref="CT41" si="80">$CT40</f>
        <v/>
      </c>
      <c r="CU41" s="70"/>
      <c r="CV41" s="172" t="str">
        <f t="shared" si="20"/>
        <v/>
      </c>
      <c r="CX41" s="32"/>
      <c r="CY41" s="161" t="str">
        <f t="shared" si="21"/>
        <v/>
      </c>
      <c r="CZ41" s="744"/>
      <c r="DA41" s="164" t="s">
        <v>114</v>
      </c>
      <c r="DB41" s="165" t="str">
        <f t="shared" si="42"/>
        <v/>
      </c>
      <c r="DC41" s="742"/>
      <c r="DD41" t="str">
        <f>IF($DE41="","",DATEDIF($AW41,参照データ!$D$19,"Y"))</f>
        <v/>
      </c>
      <c r="DE41" s="253" t="str">
        <f>IFERROR(IF($AX41="男子",VLOOKUP($DL41,参照データ!$D$88:$E$117,2,0),$DL41),0)</f>
        <v/>
      </c>
      <c r="DF41" s="84" t="str">
        <f>IF($Z41="選手権",(VLOOKUP($DE41,参照データ!$D$88:$K$117,3,0)),"")</f>
        <v/>
      </c>
      <c r="DG41" s="85" t="str">
        <f t="shared" si="6"/>
        <v/>
      </c>
      <c r="DH41" s="84" t="str">
        <f>IF($AB41="選手権",(VLOOKUP($DE41,参照データ!$D$88:$K$117,4,0)),"")</f>
        <v/>
      </c>
      <c r="DI41" s="85" t="str">
        <f t="shared" si="7"/>
        <v/>
      </c>
      <c r="DJ41" s="84" t="str">
        <f>IF($AD41="選手権",(VLOOKUP($DE41,参照データ!$D$88:$K$117,5,0)),"")</f>
        <v/>
      </c>
      <c r="DK41" s="85" t="str">
        <f t="shared" si="8"/>
        <v/>
      </c>
      <c r="DL41" s="53" t="str">
        <f>IF(AND($AW41&gt;=参照データ!$C$90,$AW41&lt;=参照データ!$C$88),1,IF(AND($AW41&gt;=参照データ!$C$93,$AW41&lt;=参照データ!$C$91),2,IF(AND($AW41&gt;=参照データ!$C$99,$AW41&lt;=参照データ!$C$97),3,IF(AND($AW41&gt;=参照データ!$C$105,$AW41&lt;=参照データ!$C$103),4,IF(AND($AW41&gt;=参照データ!$C$111,$AW41&lt;=参照データ!$C$109),5,IF(AND($AW41&gt;0,$AW41&lt;=参照データ!$C$112),6,""))))))</f>
        <v/>
      </c>
      <c r="DM41" s="84" t="str">
        <f>IF($AF41="選手権",(VLOOKUP($DL41,参照データ!$D$88:$K$117,6,0)),"")</f>
        <v/>
      </c>
      <c r="DN41" s="85" t="str">
        <f t="shared" si="9"/>
        <v/>
      </c>
      <c r="DO41" s="84" t="str">
        <f>IF($AH41="選手権",(VLOOKUP($DL41,参照データ!$D$88:$K$117,7,0)),"")</f>
        <v/>
      </c>
      <c r="DP41" s="85" t="str">
        <f t="shared" si="22"/>
        <v/>
      </c>
      <c r="DQ41" s="33" t="str">
        <f t="shared" si="23"/>
        <v/>
      </c>
      <c r="DR41" s="32" t="str">
        <f t="shared" si="24"/>
        <v/>
      </c>
      <c r="DS41" s="85" t="str">
        <f t="shared" si="25"/>
        <v/>
      </c>
      <c r="DT41" s="733"/>
      <c r="DU41" s="91" t="s">
        <v>114</v>
      </c>
      <c r="DV41" s="92" t="str">
        <f t="shared" si="35"/>
        <v/>
      </c>
      <c r="DW41" s="735"/>
      <c r="DX41" s="312" t="str">
        <f>IFERROR(VLOOKUP($DW41,参照データ!$K$88:$O$117,5,0),"")</f>
        <v/>
      </c>
      <c r="DZ41" s="491" t="str">
        <f t="shared" si="26"/>
        <v/>
      </c>
      <c r="EE41" s="35">
        <f>(COUNTIF($J41:$O41,"&lt;&gt;"))*参照データ!$E$3</f>
        <v>0</v>
      </c>
      <c r="EF41" s="219" t="str">
        <f>IF($Y41="○",参照データ!$E$4,"")</f>
        <v/>
      </c>
      <c r="EG41" s="18">
        <f>(SUM(COUNTIF($R41:$V41,{"入門","初級"}))*参照データ!$E$9)+(SUM(COUNTIF($R41:$V41,{"中級","上級"})*参照データ!$E$10))</f>
        <v>0</v>
      </c>
      <c r="EH41" s="18">
        <f>IFERROR(VLOOKUP($W41,参照データ!$D$9:$J$11,7,0),0)</f>
        <v>0</v>
      </c>
      <c r="EI41" s="18">
        <f>((COUNTIF($Z41:$AH41,"○"))*参照データ!$E$12)</f>
        <v>0</v>
      </c>
      <c r="EJ41" s="18" t="str">
        <f>(IF($AJ41="○",参照データ!$J$12,""))</f>
        <v/>
      </c>
      <c r="EM41" s="18">
        <f>((COUNTIF($Z41:$AH41,"選手権"))*参照データ!$E$13)</f>
        <v>0</v>
      </c>
      <c r="EN41" s="18" t="str">
        <f>(IF($AJ41="選手権",参照データ!$J$13,""))</f>
        <v/>
      </c>
      <c r="EO41" s="18">
        <f>(COUNTIF($AQ41:$AR41,"&lt;&gt;"))*参照データ!$H$3</f>
        <v>0</v>
      </c>
      <c r="EP41" s="18"/>
      <c r="EQ41" s="98">
        <f t="array" ref="EQ41">SUM(IF(ISERROR(EE41:EN41),0,(EE41:EN41)))</f>
        <v>0</v>
      </c>
      <c r="ER41" s="18"/>
      <c r="ES41" s="18">
        <f t="shared" si="10"/>
        <v>0</v>
      </c>
      <c r="ET41" s="18">
        <f t="shared" si="36"/>
        <v>0</v>
      </c>
      <c r="EU41" s="18">
        <f t="shared" si="27"/>
        <v>0</v>
      </c>
      <c r="EV41" s="18">
        <f t="shared" si="28"/>
        <v>0</v>
      </c>
      <c r="EW41" s="18">
        <f t="shared" si="29"/>
        <v>0</v>
      </c>
      <c r="EX41" s="18">
        <f t="shared" si="30"/>
        <v>0</v>
      </c>
      <c r="EY41" t="str">
        <f t="shared" si="31"/>
        <v/>
      </c>
    </row>
    <row r="42" spans="1:155" ht="18.75" customHeight="1" x14ac:dyDescent="0.2">
      <c r="A42">
        <v>31</v>
      </c>
      <c r="B42" s="14" t="str">
        <f>IF(D42="","",IF(D42="重複","",COUNTIF(B$12:$B41,"&gt;0")+1))</f>
        <v/>
      </c>
      <c r="C42" s="464"/>
      <c r="D42" s="177"/>
      <c r="E42" s="177"/>
      <c r="F42" s="31"/>
      <c r="G42" s="41"/>
      <c r="H42" s="351">
        <f t="shared" si="32"/>
        <v>0</v>
      </c>
      <c r="I42" s="193" t="str">
        <f>IF($AW42=0,"",DATEDIF($AW42,参照データ!$D$16,"Y"))</f>
        <v/>
      </c>
      <c r="J42" s="517"/>
      <c r="K42" s="517"/>
      <c r="L42" s="517"/>
      <c r="M42" s="517"/>
      <c r="N42" s="517"/>
      <c r="O42" s="518"/>
      <c r="P42" s="345"/>
      <c r="Q42" s="345"/>
      <c r="R42" s="519"/>
      <c r="S42" s="244"/>
      <c r="T42" s="244"/>
      <c r="U42" s="244"/>
      <c r="V42" s="245"/>
      <c r="W42" s="248"/>
      <c r="X42" s="250"/>
      <c r="Y42" s="345"/>
      <c r="Z42" s="388"/>
      <c r="AA42" s="346" t="str">
        <f>IF($Z42="○",VLOOKUP($CB42,参照データ!$D$65:$M$82,9,0),IF($Z42="選手権",VLOOKUP($DE42,参照データ!$D$88:$O$117,10,0),""))</f>
        <v/>
      </c>
      <c r="AB42" s="388"/>
      <c r="AC42" s="346" t="str">
        <f>IF($AB42="○",VLOOKUP($CB42,参照データ!$D$65:$M$82,10,0),IF($AB42="選手権",VLOOKUP($DE42,参照データ!$D$88:$O$117,11,0),""))</f>
        <v/>
      </c>
      <c r="AD42" s="388"/>
      <c r="AE42" s="346" t="str">
        <f>IF($AD42="○",VLOOKUP($CB42,参照データ!$D$65:$M$82,10,0),IF($AD42="選手権",VLOOKUP($DE42,参照データ!$D$88:$O$117,11,0),""))</f>
        <v/>
      </c>
      <c r="AF42" s="388"/>
      <c r="AG42" s="346" t="str">
        <f>IF($AF42="○",VLOOKUP($CB42,参照データ!$D$65:$M$82,10,0),IF($AF42="選手権",VLOOKUP($DL42,参照データ!$D$88:$O$117,12,0),""))</f>
        <v/>
      </c>
      <c r="AH42" s="388"/>
      <c r="AI42" s="346" t="str">
        <f>IF($AH42="○",VLOOKUP($CB42,参照データ!$D$65:$M$82,10,0),IF($AH42="選手権",VLOOKUP($DL42,参照データ!$D$88:$O$117,12,0),""))</f>
        <v/>
      </c>
      <c r="AJ42" s="388"/>
      <c r="AK42" s="511"/>
      <c r="AL42" s="346" t="str">
        <f t="shared" si="3"/>
        <v/>
      </c>
      <c r="AM42" s="392"/>
      <c r="AN42" s="391"/>
      <c r="AO42" s="391"/>
      <c r="AP42" s="447"/>
      <c r="AQ42" s="321"/>
      <c r="AR42" s="481"/>
      <c r="AS42" s="393"/>
      <c r="AT42" s="483"/>
      <c r="AW42">
        <f t="shared" si="45"/>
        <v>0</v>
      </c>
      <c r="AX42" t="str">
        <f t="shared" si="33"/>
        <v/>
      </c>
      <c r="AY42" s="132"/>
      <c r="BA42" s="513" t="str">
        <f>IF(団体情報・入力の仕方!$C$3&lt;&gt;"大田区大会","",IF(AW42=0,"",IF(I42&gt;=18,"○","")))</f>
        <v/>
      </c>
      <c r="BB42" s="53" t="str">
        <f>IF($AW42=0,"",IF(AND($I42&gt;=6,$I42&lt;=19),VLOOKUP($I42,参照データ!$B$24:$C$37,2,0),IF($I42&lt;6,6,19)))</f>
        <v/>
      </c>
      <c r="BC42" s="155" t="str">
        <f>IF($J42="○",VLOOKUP($BB42,参照データ!$C$24:$I$37,2,0),"")</f>
        <v/>
      </c>
      <c r="BD42" s="146" t="str">
        <f>IF($K42="○",VLOOKUP($BB42,参照データ!$C$24:$I$37,3,0),"")</f>
        <v/>
      </c>
      <c r="BE42" s="146" t="str">
        <f>IF($L42="○",VLOOKUP($BB42,参照データ!$C$24:$I$37,4,0),"")</f>
        <v/>
      </c>
      <c r="BF42" s="146" t="str">
        <f>IF($M42="○",VLOOKUP($BB42,参照データ!$C$24:$I$37,5,0),"")</f>
        <v/>
      </c>
      <c r="BG42" s="146" t="str">
        <f>IF($N42="20日",VLOOKUP($BB42,参照データ!$C$24:$I$37,6,0),"")</f>
        <v/>
      </c>
      <c r="BH42" s="156" t="str">
        <f>IF($O42="20日",VLOOKUP($BB42,参照データ!$C$24:$I$37,7,0),"")</f>
        <v/>
      </c>
      <c r="BI42" s="155" t="str">
        <f>IF($J42="21日",VLOOKUP($BB42,参照データ!$C$24:$I$37,2,0),"")</f>
        <v/>
      </c>
      <c r="BJ42" s="146" t="str">
        <f>IF($K42="21日",VLOOKUP($BB42,参照データ!$C$24:$I$37,3,0),"")</f>
        <v/>
      </c>
      <c r="BK42" s="146" t="str">
        <f>IF($L42="21日",VLOOKUP($BB42,参照データ!$C$24:$I$37,4,0),"")</f>
        <v/>
      </c>
      <c r="BL42" s="146" t="str">
        <f>IF($M42="21日",VLOOKUP($BB42,参照データ!$C$24:$I$37,5,0),"")</f>
        <v/>
      </c>
      <c r="BM42" s="146" t="str">
        <f>IF($N42="21日",VLOOKUP($BB42,参照データ!$C$24:$I$37,6,0),"")</f>
        <v/>
      </c>
      <c r="BN42" s="156" t="str">
        <f>IF($O42="21日",VLOOKUP($BB42,参照データ!$C$24:$I$37,7,0),"")</f>
        <v/>
      </c>
      <c r="BO42" s="223" t="str">
        <f t="shared" si="40"/>
        <v/>
      </c>
      <c r="BP42" s="154" t="str">
        <f>IF($R42="入門",VLOOKUP($BB42,参照データ!$C$43:$U$56,2,0),IF($R42="初級",VLOOKUP($BB42,参照データ!$C$43:$U$56,3,0),IF($R42="中級",VLOOKUP($BB42,参照データ!$C$43:$U$56,4,0),IF($R42="上級",VLOOKUP($BB42,参照データ!$C$43:$U$56,5,0),""))))</f>
        <v/>
      </c>
      <c r="BQ42" s="154" t="str">
        <f>IF($S42="初級",VLOOKUP($BB42,参照データ!$C$43:$U$56,6,0),IF($S42="中級",VLOOKUP($BB42,参照データ!$C$43:$U$56,7,0),IF($S42="上級",VLOOKUP($BB42,参照データ!$C$43:$U$56,8,0),"")))</f>
        <v/>
      </c>
      <c r="BR42" s="154" t="str">
        <f>IF($T42="初級",VLOOKUP($BB42,参照データ!$C$43:$U$56,9,0),IF($T42="上級",VLOOKUP($BB42,参照データ!$C$43:$U$56,10,0),""))</f>
        <v/>
      </c>
      <c r="BS42" s="154" t="str">
        <f>IF($U42="初級",VLOOKUP($BB42,参照データ!$C$43:$U$56,11,0),IF($U42="中級",VLOOKUP($BB42,参照データ!$C$43:$U$56,12,0),IF($U42="上級",VLOOKUP($BB42,参照データ!$C$43:$U$56,13,0),"")))</f>
        <v/>
      </c>
      <c r="BT42" s="154" t="str">
        <f>IF($V42="初級",VLOOKUP($BB42,参照データ!$C$43:$U$56,14,0),IF($V42="中級",VLOOKUP($BB42,参照データ!$C$43:$U$56,15,0),IF($V42="上級",VLOOKUP($BB42,参照データ!$C$43:$U$56,16,0),"")))</f>
        <v/>
      </c>
      <c r="BU42" s="47" t="str">
        <f t="shared" si="4"/>
        <v/>
      </c>
      <c r="BV42" s="47" t="str">
        <f>IF($W42="初級",VLOOKUP($BB42,参照データ!$C$43:$U$56,17,0),IF($W42="中級",VLOOKUP($BB42,参照データ!$C$43:$U$56,18,0),IF($W42="上級",VLOOKUP($BB42,参照データ!$C$43:$U$56,19,0),"")))</f>
        <v/>
      </c>
      <c r="BW42" s="686">
        <v>16</v>
      </c>
      <c r="BX42" s="66" t="s">
        <v>115</v>
      </c>
      <c r="BY42" s="136" t="str">
        <f t="shared" si="11"/>
        <v/>
      </c>
      <c r="BZ42" s="688" t="str">
        <f t="shared" ref="BZ42" si="81">IF(OR($BY42="",$BY43=""),"",IF($BY42&gt;$BY43,$BY42,$BY43))</f>
        <v/>
      </c>
      <c r="CB42" s="53" t="str">
        <f>IF(AND($AW42&gt;=参照データ!$C$67,$AW42&lt;=参照データ!$C$65),1,IF(AND($AW42&gt;=参照データ!$C$70,$AW42&lt;=参照データ!$C$68),2,IF(AND($AW42&gt;=参照データ!$C$73,$AW42&lt;=参照データ!$C$71),3,IF(AND($AW42&gt;=参照データ!$C$76,$AW42&lt;=参照データ!$C$74),4,IF(AND($AW42&gt;=参照データ!$C$79,$AW42&lt;=参照データ!$C$77),5,IF(AND($AW42&gt;0,$AW42&lt;=参照データ!$C$80),6,""))))))</f>
        <v/>
      </c>
      <c r="CC42" s="141" t="str">
        <f>IF($Z42="○",(VLOOKUP($CB42,参照データ!$D$65:$J$82,2,0)),"")</f>
        <v/>
      </c>
      <c r="CD42" s="71" t="str">
        <f t="shared" si="12"/>
        <v/>
      </c>
      <c r="CE42" s="70" t="str">
        <f>IF($AB42="○",(VLOOKUP($CB42,参照データ!$D$65:$J$82,3,0)),"")</f>
        <v/>
      </c>
      <c r="CF42" s="71" t="str">
        <f t="shared" si="13"/>
        <v/>
      </c>
      <c r="CG42" s="70" t="str">
        <f>IF($AD42="○",(VLOOKUP($CB42,参照データ!$D$65:$J$82,4,0)),"")</f>
        <v/>
      </c>
      <c r="CH42" s="71" t="str">
        <f t="shared" si="14"/>
        <v/>
      </c>
      <c r="CI42" s="70" t="str">
        <f>IF($AF42="○",(VLOOKUP($CB42,参照データ!$D$65:$J$82,5,0)),"")</f>
        <v/>
      </c>
      <c r="CJ42" s="71" t="str">
        <f t="shared" si="5"/>
        <v/>
      </c>
      <c r="CK42" s="70" t="str">
        <f>IF($AH42="○",(VLOOKUP($CB42,参照データ!$D$65:$J$82,6,0)),"")</f>
        <v/>
      </c>
      <c r="CL42" s="71" t="str">
        <f t="shared" si="15"/>
        <v/>
      </c>
      <c r="CM42" s="33" t="str">
        <f t="shared" si="16"/>
        <v/>
      </c>
      <c r="CN42" s="32" t="str">
        <f t="shared" si="17"/>
        <v/>
      </c>
      <c r="CO42" s="71" t="str">
        <f t="shared" si="18"/>
        <v/>
      </c>
      <c r="CP42" s="681">
        <v>16</v>
      </c>
      <c r="CQ42" s="79" t="s">
        <v>115</v>
      </c>
      <c r="CR42" s="80" t="str">
        <f t="shared" si="19"/>
        <v/>
      </c>
      <c r="CS42" s="683" t="e">
        <f>IF($CR42&gt;$CR43,VLOOKUP($CR42,参照データ!$D$65:$J$82,7,0),VLOOKUP($CR43,参照データ!$D$65:$J$82,7,0))</f>
        <v>#N/A</v>
      </c>
      <c r="CT42" s="308" t="str">
        <f>IFERROR(VLOOKUP($CS42,参照データ!$J$65:$M$82,4,0),"")</f>
        <v/>
      </c>
      <c r="CU42" s="70"/>
      <c r="CV42" s="172" t="str">
        <f t="shared" si="20"/>
        <v/>
      </c>
      <c r="CX42" s="32"/>
      <c r="CY42" s="161" t="str">
        <f t="shared" si="21"/>
        <v/>
      </c>
      <c r="CZ42" s="743">
        <v>16</v>
      </c>
      <c r="DA42" s="166" t="s">
        <v>115</v>
      </c>
      <c r="DB42" s="167" t="str">
        <f t="shared" si="42"/>
        <v/>
      </c>
      <c r="DC42" s="741" t="str">
        <f>IF(OR(DB42="",DB43=""),"",IF(DB42&gt;DB43,DB42,DB43))</f>
        <v/>
      </c>
      <c r="DD42" t="str">
        <f>IF($DE42="","",DATEDIF($AW42,参照データ!$D$19,"Y"))</f>
        <v/>
      </c>
      <c r="DE42" s="253" t="str">
        <f>IFERROR(IF($AX42="男子",VLOOKUP($DL42,参照データ!$D$88:$E$117,2,0),$DL42),0)</f>
        <v/>
      </c>
      <c r="DF42" s="84" t="str">
        <f>IF($Z42="選手権",(VLOOKUP($DE42,参照データ!$D$88:$K$117,3,0)),"")</f>
        <v/>
      </c>
      <c r="DG42" s="85" t="str">
        <f t="shared" si="6"/>
        <v/>
      </c>
      <c r="DH42" s="84" t="str">
        <f>IF($AB42="選手権",(VLOOKUP($DE42,参照データ!$D$88:$K$117,4,0)),"")</f>
        <v/>
      </c>
      <c r="DI42" s="85" t="str">
        <f t="shared" si="7"/>
        <v/>
      </c>
      <c r="DJ42" s="84" t="str">
        <f>IF($AD42="選手権",(VLOOKUP($DE42,参照データ!$D$88:$K$117,5,0)),"")</f>
        <v/>
      </c>
      <c r="DK42" s="85" t="str">
        <f t="shared" si="8"/>
        <v/>
      </c>
      <c r="DL42" s="53" t="str">
        <f>IF(AND($AW42&gt;=参照データ!$C$90,$AW42&lt;=参照データ!$C$88),1,IF(AND($AW42&gt;=参照データ!$C$93,$AW42&lt;=参照データ!$C$91),2,IF(AND($AW42&gt;=参照データ!$C$99,$AW42&lt;=参照データ!$C$97),3,IF(AND($AW42&gt;=参照データ!$C$105,$AW42&lt;=参照データ!$C$103),4,IF(AND($AW42&gt;=参照データ!$C$111,$AW42&lt;=参照データ!$C$109),5,IF(AND($AW42&gt;0,$AW42&lt;=参照データ!$C$112),6,""))))))</f>
        <v/>
      </c>
      <c r="DM42" s="84" t="str">
        <f>IF($AF42="選手権",(VLOOKUP($DL42,参照データ!$D$88:$K$117,6,0)),"")</f>
        <v/>
      </c>
      <c r="DN42" s="85" t="str">
        <f t="shared" si="9"/>
        <v/>
      </c>
      <c r="DO42" s="84" t="str">
        <f>IF($AH42="選手権",(VLOOKUP($DL42,参照データ!$D$88:$K$117,7,0)),"")</f>
        <v/>
      </c>
      <c r="DP42" s="85" t="str">
        <f t="shared" si="22"/>
        <v/>
      </c>
      <c r="DQ42" s="33" t="str">
        <f t="shared" si="23"/>
        <v/>
      </c>
      <c r="DR42" s="32" t="str">
        <f t="shared" si="24"/>
        <v/>
      </c>
      <c r="DS42" s="85" t="str">
        <f t="shared" si="25"/>
        <v/>
      </c>
      <c r="DT42" s="736">
        <v>16</v>
      </c>
      <c r="DU42" s="93" t="s">
        <v>115</v>
      </c>
      <c r="DV42" s="94" t="str">
        <f t="shared" si="35"/>
        <v/>
      </c>
      <c r="DW42" s="737" t="e">
        <f>IF($DV42&gt;$DV43,VLOOKUP($DV42,参照データ!$D$88:$K$117,8,0),VLOOKUP($DV43,参照データ!$D$88:$K$117,8,0))</f>
        <v>#N/A</v>
      </c>
      <c r="DX42" s="312" t="str">
        <f t="shared" ref="DX42" si="82">$DX41</f>
        <v/>
      </c>
      <c r="DZ42" s="491" t="str">
        <f t="shared" si="26"/>
        <v/>
      </c>
      <c r="EE42" s="35">
        <f>(COUNTIF($J42:$O42,"&lt;&gt;"))*参照データ!$E$3</f>
        <v>0</v>
      </c>
      <c r="EF42" s="219" t="str">
        <f>IF($Y42="○",参照データ!$E$4,"")</f>
        <v/>
      </c>
      <c r="EG42" s="18">
        <f>(SUM(COUNTIF($R42:$V42,{"入門","初級"}))*参照データ!$E$9)+(SUM(COUNTIF($R42:$V42,{"中級","上級"})*参照データ!$E$10))</f>
        <v>0</v>
      </c>
      <c r="EH42" s="18">
        <f>IFERROR(VLOOKUP($W42,参照データ!$D$9:$J$11,7,0),0)</f>
        <v>0</v>
      </c>
      <c r="EI42" s="18">
        <f>((COUNTIF($Z42:$AH42,"○"))*参照データ!$E$12)</f>
        <v>0</v>
      </c>
      <c r="EJ42" s="18" t="str">
        <f>(IF($AJ42="○",参照データ!$J$12,""))</f>
        <v/>
      </c>
      <c r="EM42" s="18">
        <f>((COUNTIF($Z42:$AH42,"選手権"))*参照データ!$E$13)</f>
        <v>0</v>
      </c>
      <c r="EN42" s="18" t="str">
        <f>(IF($AJ42="選手権",参照データ!$J$13,""))</f>
        <v/>
      </c>
      <c r="EO42" s="18">
        <f>(COUNTIF($AQ42:$AR42,"&lt;&gt;"))*参照データ!$H$3</f>
        <v>0</v>
      </c>
      <c r="EP42" s="18"/>
      <c r="EQ42" s="98">
        <f t="array" ref="EQ42">SUM(IF(ISERROR(EE42:EN42),0,(EE42:EN42)))</f>
        <v>0</v>
      </c>
      <c r="ER42" s="18"/>
      <c r="ES42" s="18">
        <f t="shared" si="10"/>
        <v>0</v>
      </c>
      <c r="ET42" s="18">
        <f t="shared" si="36"/>
        <v>0</v>
      </c>
      <c r="EU42" s="18">
        <f t="shared" si="27"/>
        <v>0</v>
      </c>
      <c r="EV42" s="18">
        <f t="shared" si="28"/>
        <v>0</v>
      </c>
      <c r="EW42" s="18">
        <f t="shared" si="29"/>
        <v>0</v>
      </c>
      <c r="EX42" s="18">
        <f t="shared" si="30"/>
        <v>0</v>
      </c>
      <c r="EY42" t="str">
        <f t="shared" si="31"/>
        <v/>
      </c>
    </row>
    <row r="43" spans="1:155" ht="18.75" customHeight="1" x14ac:dyDescent="0.2">
      <c r="A43">
        <v>32</v>
      </c>
      <c r="B43" s="14" t="str">
        <f>IF(D43="","",IF(D43="重複","",COUNTIF(B$12:$B42,"&gt;0")+1))</f>
        <v/>
      </c>
      <c r="C43" s="464"/>
      <c r="D43" s="177"/>
      <c r="E43" s="177"/>
      <c r="F43" s="31"/>
      <c r="G43" s="41"/>
      <c r="H43" s="351">
        <f t="shared" si="32"/>
        <v>0</v>
      </c>
      <c r="I43" s="193" t="str">
        <f>IF($AW43=0,"",DATEDIF($AW43,参照データ!$D$16,"Y"))</f>
        <v/>
      </c>
      <c r="J43" s="517"/>
      <c r="K43" s="517"/>
      <c r="L43" s="517"/>
      <c r="M43" s="517"/>
      <c r="N43" s="517"/>
      <c r="O43" s="518"/>
      <c r="P43" s="345"/>
      <c r="Q43" s="345"/>
      <c r="R43" s="519"/>
      <c r="S43" s="244"/>
      <c r="T43" s="244"/>
      <c r="U43" s="244"/>
      <c r="V43" s="245"/>
      <c r="W43" s="248"/>
      <c r="X43" s="250"/>
      <c r="Y43" s="345"/>
      <c r="Z43" s="388"/>
      <c r="AA43" s="346" t="str">
        <f>IF($Z43="○",VLOOKUP($CB43,参照データ!$D$65:$M$82,9,0),IF($Z43="選手権",VLOOKUP($DE43,参照データ!$D$88:$O$117,10,0),""))</f>
        <v/>
      </c>
      <c r="AB43" s="388"/>
      <c r="AC43" s="346" t="str">
        <f>IF($AB43="○",VLOOKUP($CB43,参照データ!$D$65:$M$82,10,0),IF($AB43="選手権",VLOOKUP($DE43,参照データ!$D$88:$O$117,11,0),""))</f>
        <v/>
      </c>
      <c r="AD43" s="388"/>
      <c r="AE43" s="346" t="str">
        <f>IF($AD43="○",VLOOKUP($CB43,参照データ!$D$65:$M$82,10,0),IF($AD43="選手権",VLOOKUP($DE43,参照データ!$D$88:$O$117,11,0),""))</f>
        <v/>
      </c>
      <c r="AF43" s="388"/>
      <c r="AG43" s="346" t="str">
        <f>IF($AF43="○",VLOOKUP($CB43,参照データ!$D$65:$M$82,10,0),IF($AF43="選手権",VLOOKUP($DL43,参照データ!$D$88:$O$117,12,0),""))</f>
        <v/>
      </c>
      <c r="AH43" s="388"/>
      <c r="AI43" s="346" t="str">
        <f>IF($AH43="○",VLOOKUP($CB43,参照データ!$D$65:$M$82,10,0),IF($AH43="選手権",VLOOKUP($DL43,参照データ!$D$88:$O$117,12,0),""))</f>
        <v/>
      </c>
      <c r="AJ43" s="388"/>
      <c r="AK43" s="511"/>
      <c r="AL43" s="346" t="str">
        <f t="shared" si="3"/>
        <v/>
      </c>
      <c r="AM43" s="392"/>
      <c r="AN43" s="391"/>
      <c r="AO43" s="391"/>
      <c r="AP43" s="447"/>
      <c r="AQ43" s="321"/>
      <c r="AR43" s="481"/>
      <c r="AS43" s="393"/>
      <c r="AT43" s="483"/>
      <c r="AW43">
        <f t="shared" si="45"/>
        <v>0</v>
      </c>
      <c r="AX43" t="str">
        <f t="shared" si="33"/>
        <v/>
      </c>
      <c r="AY43" s="132"/>
      <c r="BA43" s="513" t="str">
        <f>IF(団体情報・入力の仕方!$C$3&lt;&gt;"大田区大会","",IF(AW43=0,"",IF(I43&gt;=18,"○","")))</f>
        <v/>
      </c>
      <c r="BB43" s="53" t="str">
        <f>IF($AW43=0,"",IF(AND($I43&gt;=6,$I43&lt;=19),VLOOKUP($I43,参照データ!$B$24:$C$37,2,0),IF($I43&lt;6,6,19)))</f>
        <v/>
      </c>
      <c r="BC43" s="155" t="str">
        <f>IF($J43="○",VLOOKUP($BB43,参照データ!$C$24:$I$37,2,0),"")</f>
        <v/>
      </c>
      <c r="BD43" s="146" t="str">
        <f>IF($K43="○",VLOOKUP($BB43,参照データ!$C$24:$I$37,3,0),"")</f>
        <v/>
      </c>
      <c r="BE43" s="146" t="str">
        <f>IF($L43="○",VLOOKUP($BB43,参照データ!$C$24:$I$37,4,0),"")</f>
        <v/>
      </c>
      <c r="BF43" s="146" t="str">
        <f>IF($M43="○",VLOOKUP($BB43,参照データ!$C$24:$I$37,5,0),"")</f>
        <v/>
      </c>
      <c r="BG43" s="146" t="str">
        <f>IF($N43="20日",VLOOKUP($BB43,参照データ!$C$24:$I$37,6,0),"")</f>
        <v/>
      </c>
      <c r="BH43" s="156" t="str">
        <f>IF($O43="20日",VLOOKUP($BB43,参照データ!$C$24:$I$37,7,0),"")</f>
        <v/>
      </c>
      <c r="BI43" s="155" t="str">
        <f>IF($J43="21日",VLOOKUP($BB43,参照データ!$C$24:$I$37,2,0),"")</f>
        <v/>
      </c>
      <c r="BJ43" s="146" t="str">
        <f>IF($K43="21日",VLOOKUP($BB43,参照データ!$C$24:$I$37,3,0),"")</f>
        <v/>
      </c>
      <c r="BK43" s="146" t="str">
        <f>IF($L43="21日",VLOOKUP($BB43,参照データ!$C$24:$I$37,4,0),"")</f>
        <v/>
      </c>
      <c r="BL43" s="146" t="str">
        <f>IF($M43="21日",VLOOKUP($BB43,参照データ!$C$24:$I$37,5,0),"")</f>
        <v/>
      </c>
      <c r="BM43" s="146" t="str">
        <f>IF($N43="21日",VLOOKUP($BB43,参照データ!$C$24:$I$37,6,0),"")</f>
        <v/>
      </c>
      <c r="BN43" s="156" t="str">
        <f>IF($O43="21日",VLOOKUP($BB43,参照データ!$C$24:$I$37,7,0),"")</f>
        <v/>
      </c>
      <c r="BO43" s="223" t="str">
        <f t="shared" si="40"/>
        <v/>
      </c>
      <c r="BP43" s="154" t="str">
        <f>IF($R43="入門",VLOOKUP($BB43,参照データ!$C$43:$U$56,2,0),IF($R43="初級",VLOOKUP($BB43,参照データ!$C$43:$U$56,3,0),IF($R43="中級",VLOOKUP($BB43,参照データ!$C$43:$U$56,4,0),IF($R43="上級",VLOOKUP($BB43,参照データ!$C$43:$U$56,5,0),""))))</f>
        <v/>
      </c>
      <c r="BQ43" s="154" t="str">
        <f>IF($S43="初級",VLOOKUP($BB43,参照データ!$C$43:$U$56,6,0),IF($S43="中級",VLOOKUP($BB43,参照データ!$C$43:$U$56,7,0),IF($S43="上級",VLOOKUP($BB43,参照データ!$C$43:$U$56,8,0),"")))</f>
        <v/>
      </c>
      <c r="BR43" s="154" t="str">
        <f>IF($T43="初級",VLOOKUP($BB43,参照データ!$C$43:$U$56,9,0),IF($T43="上級",VLOOKUP($BB43,参照データ!$C$43:$U$56,10,0),""))</f>
        <v/>
      </c>
      <c r="BS43" s="154" t="str">
        <f>IF($U43="初級",VLOOKUP($BB43,参照データ!$C$43:$U$56,11,0),IF($U43="中級",VLOOKUP($BB43,参照データ!$C$43:$U$56,12,0),IF($U43="上級",VLOOKUP($BB43,参照データ!$C$43:$U$56,13,0),"")))</f>
        <v/>
      </c>
      <c r="BT43" s="154" t="str">
        <f>IF($V43="初級",VLOOKUP($BB43,参照データ!$C$43:$U$56,14,0),IF($V43="中級",VLOOKUP($BB43,参照データ!$C$43:$U$56,15,0),IF($V43="上級",VLOOKUP($BB43,参照データ!$C$43:$U$56,16,0),"")))</f>
        <v/>
      </c>
      <c r="BU43" s="47" t="str">
        <f t="shared" si="4"/>
        <v/>
      </c>
      <c r="BV43" s="47" t="str">
        <f>IF($W43="初級",VLOOKUP($BB43,参照データ!$C$43:$U$56,17,0),IF($W43="中級",VLOOKUP($BB43,参照データ!$C$43:$U$56,18,0),IF($W43="上級",VLOOKUP($BB43,参照データ!$C$43:$U$56,19,0),"")))</f>
        <v/>
      </c>
      <c r="BW43" s="687"/>
      <c r="BX43" s="65" t="s">
        <v>116</v>
      </c>
      <c r="BY43" s="135" t="str">
        <f t="shared" si="11"/>
        <v/>
      </c>
      <c r="BZ43" s="689"/>
      <c r="CB43" s="53" t="str">
        <f>IF(AND($AW43&gt;=参照データ!$C$67,$AW43&lt;=参照データ!$C$65),1,IF(AND($AW43&gt;=参照データ!$C$70,$AW43&lt;=参照データ!$C$68),2,IF(AND($AW43&gt;=参照データ!$C$73,$AW43&lt;=参照データ!$C$71),3,IF(AND($AW43&gt;=参照データ!$C$76,$AW43&lt;=参照データ!$C$74),4,IF(AND($AW43&gt;=参照データ!$C$79,$AW43&lt;=参照データ!$C$77),5,IF(AND($AW43&gt;0,$AW43&lt;=参照データ!$C$80),6,""))))))</f>
        <v/>
      </c>
      <c r="CC43" s="141" t="str">
        <f>IF($Z43="○",(VLOOKUP($CB43,参照データ!$D$65:$J$82,2,0)),"")</f>
        <v/>
      </c>
      <c r="CD43" s="71" t="str">
        <f t="shared" si="12"/>
        <v/>
      </c>
      <c r="CE43" s="70" t="str">
        <f>IF($AB43="○",(VLOOKUP($CB43,参照データ!$D$65:$J$82,3,0)),"")</f>
        <v/>
      </c>
      <c r="CF43" s="71" t="str">
        <f t="shared" si="13"/>
        <v/>
      </c>
      <c r="CG43" s="70" t="str">
        <f>IF($AD43="○",(VLOOKUP($CB43,参照データ!$D$65:$J$82,4,0)),"")</f>
        <v/>
      </c>
      <c r="CH43" s="71" t="str">
        <f t="shared" si="14"/>
        <v/>
      </c>
      <c r="CI43" s="70" t="str">
        <f>IF($AF43="○",(VLOOKUP($CB43,参照データ!$D$65:$J$82,5,0)),"")</f>
        <v/>
      </c>
      <c r="CJ43" s="71" t="str">
        <f t="shared" si="5"/>
        <v/>
      </c>
      <c r="CK43" s="70" t="str">
        <f>IF($AH43="○",(VLOOKUP($CB43,参照データ!$D$65:$J$82,6,0)),"")</f>
        <v/>
      </c>
      <c r="CL43" s="71" t="str">
        <f t="shared" si="15"/>
        <v/>
      </c>
      <c r="CM43" s="33" t="str">
        <f t="shared" si="16"/>
        <v/>
      </c>
      <c r="CN43" s="32" t="str">
        <f t="shared" si="17"/>
        <v/>
      </c>
      <c r="CO43" s="71" t="str">
        <f t="shared" si="18"/>
        <v/>
      </c>
      <c r="CP43" s="682"/>
      <c r="CQ43" s="77" t="s">
        <v>116</v>
      </c>
      <c r="CR43" s="78" t="str">
        <f t="shared" si="19"/>
        <v/>
      </c>
      <c r="CS43" s="684"/>
      <c r="CT43" s="308" t="str">
        <f t="shared" ref="CT43" si="83">$CT42</f>
        <v/>
      </c>
      <c r="CU43" s="70"/>
      <c r="CV43" s="172" t="str">
        <f t="shared" si="20"/>
        <v/>
      </c>
      <c r="CX43" s="32"/>
      <c r="CY43" s="161" t="str">
        <f t="shared" si="21"/>
        <v/>
      </c>
      <c r="CZ43" s="744"/>
      <c r="DA43" s="164" t="s">
        <v>116</v>
      </c>
      <c r="DB43" s="165" t="str">
        <f t="shared" si="42"/>
        <v/>
      </c>
      <c r="DC43" s="742"/>
      <c r="DD43" t="str">
        <f>IF($DE43="","",DATEDIF($AW43,参照データ!$D$19,"Y"))</f>
        <v/>
      </c>
      <c r="DE43" s="253" t="str">
        <f>IFERROR(IF($AX43="男子",VLOOKUP($DL43,参照データ!$D$88:$E$117,2,0),$DL43),0)</f>
        <v/>
      </c>
      <c r="DF43" s="84" t="str">
        <f>IF($Z43="選手権",(VLOOKUP($DE43,参照データ!$D$88:$K$117,3,0)),"")</f>
        <v/>
      </c>
      <c r="DG43" s="85" t="str">
        <f t="shared" si="6"/>
        <v/>
      </c>
      <c r="DH43" s="84" t="str">
        <f>IF($AB43="選手権",(VLOOKUP($DE43,参照データ!$D$88:$K$117,4,0)),"")</f>
        <v/>
      </c>
      <c r="DI43" s="85" t="str">
        <f t="shared" si="7"/>
        <v/>
      </c>
      <c r="DJ43" s="84" t="str">
        <f>IF($AD43="選手権",(VLOOKUP($DE43,参照データ!$D$88:$K$117,5,0)),"")</f>
        <v/>
      </c>
      <c r="DK43" s="85" t="str">
        <f t="shared" si="8"/>
        <v/>
      </c>
      <c r="DL43" s="53" t="str">
        <f>IF(AND($AW43&gt;=参照データ!$C$90,$AW43&lt;=参照データ!$C$88),1,IF(AND($AW43&gt;=参照データ!$C$93,$AW43&lt;=参照データ!$C$91),2,IF(AND($AW43&gt;=参照データ!$C$99,$AW43&lt;=参照データ!$C$97),3,IF(AND($AW43&gt;=参照データ!$C$105,$AW43&lt;=参照データ!$C$103),4,IF(AND($AW43&gt;=参照データ!$C$111,$AW43&lt;=参照データ!$C$109),5,IF(AND($AW43&gt;0,$AW43&lt;=参照データ!$C$112),6,""))))))</f>
        <v/>
      </c>
      <c r="DM43" s="84" t="str">
        <f>IF($AF43="選手権",(VLOOKUP($DL43,参照データ!$D$88:$K$117,6,0)),"")</f>
        <v/>
      </c>
      <c r="DN43" s="85" t="str">
        <f t="shared" si="9"/>
        <v/>
      </c>
      <c r="DO43" s="84" t="str">
        <f>IF($AH43="選手権",(VLOOKUP($DL43,参照データ!$D$88:$K$117,7,0)),"")</f>
        <v/>
      </c>
      <c r="DP43" s="85" t="str">
        <f t="shared" si="22"/>
        <v/>
      </c>
      <c r="DQ43" s="33" t="str">
        <f t="shared" si="23"/>
        <v/>
      </c>
      <c r="DR43" s="32" t="str">
        <f t="shared" si="24"/>
        <v/>
      </c>
      <c r="DS43" s="85" t="str">
        <f t="shared" si="25"/>
        <v/>
      </c>
      <c r="DT43" s="733"/>
      <c r="DU43" s="91" t="s">
        <v>116</v>
      </c>
      <c r="DV43" s="92" t="str">
        <f t="shared" si="35"/>
        <v/>
      </c>
      <c r="DW43" s="735"/>
      <c r="DX43" s="312" t="str">
        <f>IFERROR(VLOOKUP($DW43,参照データ!$K$88:$O$117,5,0),"")</f>
        <v/>
      </c>
      <c r="DZ43" s="491" t="str">
        <f t="shared" si="26"/>
        <v/>
      </c>
      <c r="EE43" s="35">
        <f>(COUNTIF($J43:$O43,"&lt;&gt;"))*参照データ!$E$3</f>
        <v>0</v>
      </c>
      <c r="EF43" s="219" t="str">
        <f>IF($Y43="○",参照データ!$E$4,"")</f>
        <v/>
      </c>
      <c r="EG43" s="18">
        <f>(SUM(COUNTIF($R43:$V43,{"入門","初級"}))*参照データ!$E$9)+(SUM(COUNTIF($R43:$V43,{"中級","上級"})*参照データ!$E$10))</f>
        <v>0</v>
      </c>
      <c r="EH43" s="18">
        <f>IFERROR(VLOOKUP($W43,参照データ!$D$9:$J$11,7,0),0)</f>
        <v>0</v>
      </c>
      <c r="EI43" s="18">
        <f>((COUNTIF($Z43:$AH43,"○"))*参照データ!$E$12)</f>
        <v>0</v>
      </c>
      <c r="EJ43" s="18" t="str">
        <f>(IF($AJ43="○",参照データ!$J$12,""))</f>
        <v/>
      </c>
      <c r="EM43" s="18">
        <f>((COUNTIF($Z43:$AH43,"選手権"))*参照データ!$E$13)</f>
        <v>0</v>
      </c>
      <c r="EN43" s="18" t="str">
        <f>(IF($AJ43="選手権",参照データ!$J$13,""))</f>
        <v/>
      </c>
      <c r="EO43" s="18">
        <f>(COUNTIF($AQ43:$AR43,"&lt;&gt;"))*参照データ!$H$3</f>
        <v>0</v>
      </c>
      <c r="EP43" s="18"/>
      <c r="EQ43" s="98">
        <f t="array" ref="EQ43">SUM(IF(ISERROR(EE43:EN43),0,(EE43:EN43)))</f>
        <v>0</v>
      </c>
      <c r="ER43" s="18"/>
      <c r="ES43" s="18">
        <f t="shared" si="10"/>
        <v>0</v>
      </c>
      <c r="ET43" s="18">
        <f t="shared" si="36"/>
        <v>0</v>
      </c>
      <c r="EU43" s="18">
        <f t="shared" si="27"/>
        <v>0</v>
      </c>
      <c r="EV43" s="18">
        <f t="shared" si="28"/>
        <v>0</v>
      </c>
      <c r="EW43" s="18">
        <f t="shared" si="29"/>
        <v>0</v>
      </c>
      <c r="EX43" s="18">
        <f t="shared" si="30"/>
        <v>0</v>
      </c>
      <c r="EY43" t="str">
        <f t="shared" si="31"/>
        <v/>
      </c>
    </row>
    <row r="44" spans="1:155" ht="18.75" customHeight="1" x14ac:dyDescent="0.2">
      <c r="A44">
        <v>33</v>
      </c>
      <c r="B44" s="14" t="str">
        <f>IF(D44="","",IF(D44="重複","",COUNTIF(B$12:$B43,"&gt;0")+1))</f>
        <v/>
      </c>
      <c r="C44" s="464"/>
      <c r="D44" s="177"/>
      <c r="E44" s="177"/>
      <c r="F44" s="31"/>
      <c r="G44" s="41"/>
      <c r="H44" s="351">
        <f t="shared" si="32"/>
        <v>0</v>
      </c>
      <c r="I44" s="193" t="str">
        <f>IF($AW44=0,"",DATEDIF($AW44,参照データ!$D$16,"Y"))</f>
        <v/>
      </c>
      <c r="J44" s="517"/>
      <c r="K44" s="517"/>
      <c r="L44" s="517"/>
      <c r="M44" s="517"/>
      <c r="N44" s="517"/>
      <c r="O44" s="518"/>
      <c r="P44" s="345"/>
      <c r="Q44" s="345"/>
      <c r="R44" s="519"/>
      <c r="S44" s="244"/>
      <c r="T44" s="244"/>
      <c r="U44" s="244"/>
      <c r="V44" s="245"/>
      <c r="W44" s="248"/>
      <c r="X44" s="250"/>
      <c r="Y44" s="345"/>
      <c r="Z44" s="388"/>
      <c r="AA44" s="346" t="str">
        <f>IF($Z44="○",VLOOKUP($CB44,参照データ!$D$65:$M$82,9,0),IF($Z44="選手権",VLOOKUP($DE44,参照データ!$D$88:$O$117,10,0),""))</f>
        <v/>
      </c>
      <c r="AB44" s="388"/>
      <c r="AC44" s="346" t="str">
        <f>IF($AB44="○",VLOOKUP($CB44,参照データ!$D$65:$M$82,10,0),IF($AB44="選手権",VLOOKUP($DE44,参照データ!$D$88:$O$117,11,0),""))</f>
        <v/>
      </c>
      <c r="AD44" s="388"/>
      <c r="AE44" s="346" t="str">
        <f>IF($AD44="○",VLOOKUP($CB44,参照データ!$D$65:$M$82,10,0),IF($AD44="選手権",VLOOKUP($DE44,参照データ!$D$88:$O$117,11,0),""))</f>
        <v/>
      </c>
      <c r="AF44" s="388"/>
      <c r="AG44" s="346" t="str">
        <f>IF($AF44="○",VLOOKUP($CB44,参照データ!$D$65:$M$82,10,0),IF($AF44="選手権",VLOOKUP($DL44,参照データ!$D$88:$O$117,12,0),""))</f>
        <v/>
      </c>
      <c r="AH44" s="388"/>
      <c r="AI44" s="346" t="str">
        <f>IF($AH44="○",VLOOKUP($CB44,参照データ!$D$65:$M$82,10,0),IF($AH44="選手権",VLOOKUP($DL44,参照データ!$D$88:$O$117,12,0),""))</f>
        <v/>
      </c>
      <c r="AJ44" s="388"/>
      <c r="AK44" s="511"/>
      <c r="AL44" s="346" t="str">
        <f t="shared" si="3"/>
        <v/>
      </c>
      <c r="AM44" s="392"/>
      <c r="AN44" s="391"/>
      <c r="AO44" s="391"/>
      <c r="AP44" s="447"/>
      <c r="AQ44" s="321"/>
      <c r="AR44" s="481"/>
      <c r="AS44" s="393"/>
      <c r="AT44" s="483"/>
      <c r="AW44">
        <f t="shared" si="45"/>
        <v>0</v>
      </c>
      <c r="AX44" t="str">
        <f t="shared" si="33"/>
        <v/>
      </c>
      <c r="AY44" s="132"/>
      <c r="BA44" s="513" t="str">
        <f>IF(団体情報・入力の仕方!$C$3&lt;&gt;"大田区大会","",IF(AW44=0,"",IF(I44&gt;=18,"○","")))</f>
        <v/>
      </c>
      <c r="BB44" s="53" t="str">
        <f>IF($AW44=0,"",IF(AND($I44&gt;=6,$I44&lt;=19),VLOOKUP($I44,参照データ!$B$24:$C$37,2,0),IF($I44&lt;6,6,19)))</f>
        <v/>
      </c>
      <c r="BC44" s="155" t="str">
        <f>IF($J44="○",VLOOKUP($BB44,参照データ!$C$24:$I$37,2,0),"")</f>
        <v/>
      </c>
      <c r="BD44" s="146" t="str">
        <f>IF($K44="○",VLOOKUP($BB44,参照データ!$C$24:$I$37,3,0),"")</f>
        <v/>
      </c>
      <c r="BE44" s="146" t="str">
        <f>IF($L44="○",VLOOKUP($BB44,参照データ!$C$24:$I$37,4,0),"")</f>
        <v/>
      </c>
      <c r="BF44" s="146" t="str">
        <f>IF($M44="○",VLOOKUP($BB44,参照データ!$C$24:$I$37,5,0),"")</f>
        <v/>
      </c>
      <c r="BG44" s="146" t="str">
        <f>IF($N44="20日",VLOOKUP($BB44,参照データ!$C$24:$I$37,6,0),"")</f>
        <v/>
      </c>
      <c r="BH44" s="156" t="str">
        <f>IF($O44="20日",VLOOKUP($BB44,参照データ!$C$24:$I$37,7,0),"")</f>
        <v/>
      </c>
      <c r="BI44" s="155" t="str">
        <f>IF($J44="21日",VLOOKUP($BB44,参照データ!$C$24:$I$37,2,0),"")</f>
        <v/>
      </c>
      <c r="BJ44" s="146" t="str">
        <f>IF($K44="21日",VLOOKUP($BB44,参照データ!$C$24:$I$37,3,0),"")</f>
        <v/>
      </c>
      <c r="BK44" s="146" t="str">
        <f>IF($L44="21日",VLOOKUP($BB44,参照データ!$C$24:$I$37,4,0),"")</f>
        <v/>
      </c>
      <c r="BL44" s="146" t="str">
        <f>IF($M44="21日",VLOOKUP($BB44,参照データ!$C$24:$I$37,5,0),"")</f>
        <v/>
      </c>
      <c r="BM44" s="146" t="str">
        <f>IF($N44="21日",VLOOKUP($BB44,参照データ!$C$24:$I$37,6,0),"")</f>
        <v/>
      </c>
      <c r="BN44" s="156" t="str">
        <f>IF($O44="21日",VLOOKUP($BB44,参照データ!$C$24:$I$37,7,0),"")</f>
        <v/>
      </c>
      <c r="BO44" s="223" t="str">
        <f t="shared" si="40"/>
        <v/>
      </c>
      <c r="BP44" s="154" t="str">
        <f>IF($R44="入門",VLOOKUP($BB44,参照データ!$C$43:$U$56,2,0),IF($R44="初級",VLOOKUP($BB44,参照データ!$C$43:$U$56,3,0),IF($R44="中級",VLOOKUP($BB44,参照データ!$C$43:$U$56,4,0),IF($R44="上級",VLOOKUP($BB44,参照データ!$C$43:$U$56,5,0),""))))</f>
        <v/>
      </c>
      <c r="BQ44" s="154" t="str">
        <f>IF($S44="初級",VLOOKUP($BB44,参照データ!$C$43:$U$56,6,0),IF($S44="中級",VLOOKUP($BB44,参照データ!$C$43:$U$56,7,0),IF($S44="上級",VLOOKUP($BB44,参照データ!$C$43:$U$56,8,0),"")))</f>
        <v/>
      </c>
      <c r="BR44" s="154" t="str">
        <f>IF($T44="初級",VLOOKUP($BB44,参照データ!$C$43:$U$56,9,0),IF($T44="上級",VLOOKUP($BB44,参照データ!$C$43:$U$56,10,0),""))</f>
        <v/>
      </c>
      <c r="BS44" s="154" t="str">
        <f>IF($U44="初級",VLOOKUP($BB44,参照データ!$C$43:$U$56,11,0),IF($U44="中級",VLOOKUP($BB44,参照データ!$C$43:$U$56,12,0),IF($U44="上級",VLOOKUP($BB44,参照データ!$C$43:$U$56,13,0),"")))</f>
        <v/>
      </c>
      <c r="BT44" s="154" t="str">
        <f>IF($V44="初級",VLOOKUP($BB44,参照データ!$C$43:$U$56,14,0),IF($V44="中級",VLOOKUP($BB44,参照データ!$C$43:$U$56,15,0),IF($V44="上級",VLOOKUP($BB44,参照データ!$C$43:$U$56,16,0),"")))</f>
        <v/>
      </c>
      <c r="BU44" s="47" t="str">
        <f t="shared" si="4"/>
        <v/>
      </c>
      <c r="BV44" s="47" t="str">
        <f>IF($W44="初級",VLOOKUP($BB44,参照データ!$C$43:$U$56,17,0),IF($W44="中級",VLOOKUP($BB44,参照データ!$C$43:$U$56,18,0),IF($W44="上級",VLOOKUP($BB44,参照データ!$C$43:$U$56,19,0),"")))</f>
        <v/>
      </c>
      <c r="BW44" s="686">
        <v>17</v>
      </c>
      <c r="BX44" s="66" t="s">
        <v>117</v>
      </c>
      <c r="BY44" s="136" t="str">
        <f t="shared" si="11"/>
        <v/>
      </c>
      <c r="BZ44" s="688" t="str">
        <f t="shared" ref="BZ44" si="84">IF(OR($BY44="",$BY45=""),"",IF($BY44&gt;$BY45,$BY44,$BY45))</f>
        <v/>
      </c>
      <c r="CB44" s="53" t="str">
        <f>IF(AND($AW44&gt;=参照データ!$C$67,$AW44&lt;=参照データ!$C$65),1,IF(AND($AW44&gt;=参照データ!$C$70,$AW44&lt;=参照データ!$C$68),2,IF(AND($AW44&gt;=参照データ!$C$73,$AW44&lt;=参照データ!$C$71),3,IF(AND($AW44&gt;=参照データ!$C$76,$AW44&lt;=参照データ!$C$74),4,IF(AND($AW44&gt;=参照データ!$C$79,$AW44&lt;=参照データ!$C$77),5,IF(AND($AW44&gt;0,$AW44&lt;=参照データ!$C$80),6,""))))))</f>
        <v/>
      </c>
      <c r="CC44" s="141" t="str">
        <f>IF($Z44="○",(VLOOKUP($CB44,参照データ!$D$65:$J$82,2,0)),"")</f>
        <v/>
      </c>
      <c r="CD44" s="71" t="str">
        <f t="shared" si="12"/>
        <v/>
      </c>
      <c r="CE44" s="70" t="str">
        <f>IF($AB44="○",(VLOOKUP($CB44,参照データ!$D$65:$J$82,3,0)),"")</f>
        <v/>
      </c>
      <c r="CF44" s="71" t="str">
        <f t="shared" si="13"/>
        <v/>
      </c>
      <c r="CG44" s="70" t="str">
        <f>IF($AD44="○",(VLOOKUP($CB44,参照データ!$D$65:$J$82,4,0)),"")</f>
        <v/>
      </c>
      <c r="CH44" s="71" t="str">
        <f t="shared" si="14"/>
        <v/>
      </c>
      <c r="CI44" s="70" t="str">
        <f>IF($AF44="○",(VLOOKUP($CB44,参照データ!$D$65:$J$82,5,0)),"")</f>
        <v/>
      </c>
      <c r="CJ44" s="71" t="str">
        <f t="shared" si="5"/>
        <v/>
      </c>
      <c r="CK44" s="70" t="str">
        <f>IF($AH44="○",(VLOOKUP($CB44,参照データ!$D$65:$J$82,6,0)),"")</f>
        <v/>
      </c>
      <c r="CL44" s="71" t="str">
        <f t="shared" si="15"/>
        <v/>
      </c>
      <c r="CM44" s="33" t="str">
        <f t="shared" si="16"/>
        <v/>
      </c>
      <c r="CN44" s="32" t="str">
        <f t="shared" si="17"/>
        <v/>
      </c>
      <c r="CO44" s="71" t="str">
        <f t="shared" si="18"/>
        <v/>
      </c>
      <c r="CP44" s="681">
        <v>17</v>
      </c>
      <c r="CQ44" s="79" t="s">
        <v>117</v>
      </c>
      <c r="CR44" s="80" t="str">
        <f t="shared" si="19"/>
        <v/>
      </c>
      <c r="CS44" s="683" t="e">
        <f>IF($CR44&gt;$CR45,VLOOKUP($CR44,参照データ!$D$65:$J$82,7,0),VLOOKUP($CR45,参照データ!$D$65:$J$82,7,0))</f>
        <v>#N/A</v>
      </c>
      <c r="CT44" s="308" t="str">
        <f>IFERROR(VLOOKUP($CS44,参照データ!$J$65:$M$82,4,0),"")</f>
        <v/>
      </c>
      <c r="CU44" s="70"/>
      <c r="CV44" s="172" t="str">
        <f t="shared" si="20"/>
        <v/>
      </c>
      <c r="CX44" s="32"/>
      <c r="CY44" s="161" t="str">
        <f t="shared" si="21"/>
        <v/>
      </c>
      <c r="CZ44" s="743">
        <v>17</v>
      </c>
      <c r="DA44" s="166" t="s">
        <v>117</v>
      </c>
      <c r="DB44" s="167" t="str">
        <f t="shared" si="42"/>
        <v/>
      </c>
      <c r="DC44" s="741" t="str">
        <f>IF(OR(DB44="",DB45=""),"",IF(DB44&gt;DB45,DB44,DB45))</f>
        <v/>
      </c>
      <c r="DD44" t="str">
        <f>IF($DE44="","",DATEDIF($AW44,参照データ!$D$19,"Y"))</f>
        <v/>
      </c>
      <c r="DE44" s="253" t="str">
        <f>IFERROR(IF($AX44="男子",VLOOKUP($DL44,参照データ!$D$88:$E$117,2,0),$DL44),0)</f>
        <v/>
      </c>
      <c r="DF44" s="84" t="str">
        <f>IF($Z44="選手権",(VLOOKUP($DE44,参照データ!$D$88:$K$117,3,0)),"")</f>
        <v/>
      </c>
      <c r="DG44" s="85" t="str">
        <f t="shared" si="6"/>
        <v/>
      </c>
      <c r="DH44" s="84" t="str">
        <f>IF($AB44="選手権",(VLOOKUP($DE44,参照データ!$D$88:$K$117,4,0)),"")</f>
        <v/>
      </c>
      <c r="DI44" s="85" t="str">
        <f t="shared" si="7"/>
        <v/>
      </c>
      <c r="DJ44" s="84" t="str">
        <f>IF($AD44="選手権",(VLOOKUP($DE44,参照データ!$D$88:$K$117,5,0)),"")</f>
        <v/>
      </c>
      <c r="DK44" s="85" t="str">
        <f t="shared" si="8"/>
        <v/>
      </c>
      <c r="DL44" s="53" t="str">
        <f>IF(AND($AW44&gt;=参照データ!$C$90,$AW44&lt;=参照データ!$C$88),1,IF(AND($AW44&gt;=参照データ!$C$93,$AW44&lt;=参照データ!$C$91),2,IF(AND($AW44&gt;=参照データ!$C$99,$AW44&lt;=参照データ!$C$97),3,IF(AND($AW44&gt;=参照データ!$C$105,$AW44&lt;=参照データ!$C$103),4,IF(AND($AW44&gt;=参照データ!$C$111,$AW44&lt;=参照データ!$C$109),5,IF(AND($AW44&gt;0,$AW44&lt;=参照データ!$C$112),6,""))))))</f>
        <v/>
      </c>
      <c r="DM44" s="84" t="str">
        <f>IF($AF44="選手権",(VLOOKUP($DL44,参照データ!$D$88:$K$117,6,0)),"")</f>
        <v/>
      </c>
      <c r="DN44" s="85" t="str">
        <f t="shared" si="9"/>
        <v/>
      </c>
      <c r="DO44" s="84" t="str">
        <f>IF($AH44="選手権",(VLOOKUP($DL44,参照データ!$D$88:$K$117,7,0)),"")</f>
        <v/>
      </c>
      <c r="DP44" s="85" t="str">
        <f t="shared" si="22"/>
        <v/>
      </c>
      <c r="DQ44" s="33" t="str">
        <f t="shared" si="23"/>
        <v/>
      </c>
      <c r="DR44" s="32" t="str">
        <f t="shared" si="24"/>
        <v/>
      </c>
      <c r="DS44" s="85" t="str">
        <f t="shared" si="25"/>
        <v/>
      </c>
      <c r="DT44" s="736">
        <v>17</v>
      </c>
      <c r="DU44" s="93" t="s">
        <v>117</v>
      </c>
      <c r="DV44" s="94" t="str">
        <f t="shared" si="35"/>
        <v/>
      </c>
      <c r="DW44" s="737" t="e">
        <f>IF($DV44&gt;$DV45,VLOOKUP($DV44,参照データ!$D$88:$K$117,8,0),VLOOKUP($DV45,参照データ!$D$88:$K$117,8,0))</f>
        <v>#N/A</v>
      </c>
      <c r="DX44" s="312" t="str">
        <f t="shared" ref="DX44" si="85">$DX43</f>
        <v/>
      </c>
      <c r="DZ44" s="491" t="str">
        <f t="shared" si="26"/>
        <v/>
      </c>
      <c r="EE44" s="35">
        <f>(COUNTIF($J44:$O44,"&lt;&gt;"))*参照データ!$E$3</f>
        <v>0</v>
      </c>
      <c r="EF44" s="219" t="str">
        <f>IF($Y44="○",参照データ!$E$4,"")</f>
        <v/>
      </c>
      <c r="EG44" s="18">
        <f>(SUM(COUNTIF($R44:$V44,{"入門","初級"}))*参照データ!$E$9)+(SUM(COUNTIF($R44:$V44,{"中級","上級"})*参照データ!$E$10))</f>
        <v>0</v>
      </c>
      <c r="EH44" s="18">
        <f>IFERROR(VLOOKUP($W44,参照データ!$D$9:$J$11,7,0),0)</f>
        <v>0</v>
      </c>
      <c r="EI44" s="18">
        <f>((COUNTIF($Z44:$AH44,"○"))*参照データ!$E$12)</f>
        <v>0</v>
      </c>
      <c r="EJ44" s="18" t="str">
        <f>(IF($AJ44="○",参照データ!$J$12,""))</f>
        <v/>
      </c>
      <c r="EM44" s="18">
        <f>((COUNTIF($Z44:$AH44,"選手権"))*参照データ!$E$13)</f>
        <v>0</v>
      </c>
      <c r="EN44" s="18" t="str">
        <f>(IF($AJ44="選手権",参照データ!$J$13,""))</f>
        <v/>
      </c>
      <c r="EO44" s="18">
        <f>(COUNTIF($AQ44:$AR44,"&lt;&gt;"))*参照データ!$H$3</f>
        <v>0</v>
      </c>
      <c r="EP44" s="18"/>
      <c r="EQ44" s="98">
        <f t="array" ref="EQ44">SUM(IF(ISERROR(EE44:EN44),0,(EE44:EN44)))</f>
        <v>0</v>
      </c>
      <c r="ER44" s="18"/>
      <c r="ES44" s="18">
        <f t="shared" si="10"/>
        <v>0</v>
      </c>
      <c r="ET44" s="18">
        <f t="shared" si="36"/>
        <v>0</v>
      </c>
      <c r="EU44" s="18">
        <f t="shared" si="27"/>
        <v>0</v>
      </c>
      <c r="EV44" s="18">
        <f t="shared" si="28"/>
        <v>0</v>
      </c>
      <c r="EW44" s="18">
        <f t="shared" si="29"/>
        <v>0</v>
      </c>
      <c r="EX44" s="18">
        <f t="shared" si="30"/>
        <v>0</v>
      </c>
      <c r="EY44" t="str">
        <f t="shared" si="31"/>
        <v/>
      </c>
    </row>
    <row r="45" spans="1:155" ht="18.75" customHeight="1" x14ac:dyDescent="0.2">
      <c r="A45">
        <v>34</v>
      </c>
      <c r="B45" s="14" t="str">
        <f>IF(D45="","",IF(D45="重複","",COUNTIF(B$12:$B44,"&gt;0")+1))</f>
        <v/>
      </c>
      <c r="C45" s="464"/>
      <c r="D45" s="177"/>
      <c r="E45" s="177"/>
      <c r="F45" s="31"/>
      <c r="G45" s="41"/>
      <c r="H45" s="351">
        <f t="shared" si="32"/>
        <v>0</v>
      </c>
      <c r="I45" s="193" t="str">
        <f>IF($AW45=0,"",DATEDIF($AW45,参照データ!$D$16,"Y"))</f>
        <v/>
      </c>
      <c r="J45" s="517"/>
      <c r="K45" s="517"/>
      <c r="L45" s="517"/>
      <c r="M45" s="517"/>
      <c r="N45" s="517"/>
      <c r="O45" s="518"/>
      <c r="P45" s="345"/>
      <c r="Q45" s="345"/>
      <c r="R45" s="519"/>
      <c r="S45" s="244"/>
      <c r="T45" s="244"/>
      <c r="U45" s="244"/>
      <c r="V45" s="245"/>
      <c r="W45" s="248"/>
      <c r="X45" s="250"/>
      <c r="Y45" s="345"/>
      <c r="Z45" s="388"/>
      <c r="AA45" s="346" t="str">
        <f>IF($Z45="○",VLOOKUP($CB45,参照データ!$D$65:$M$82,9,0),IF($Z45="選手権",VLOOKUP($DE45,参照データ!$D$88:$O$117,10,0),""))</f>
        <v/>
      </c>
      <c r="AB45" s="388"/>
      <c r="AC45" s="346" t="str">
        <f>IF($AB45="○",VLOOKUP($CB45,参照データ!$D$65:$M$82,10,0),IF($AB45="選手権",VLOOKUP($DE45,参照データ!$D$88:$O$117,11,0),""))</f>
        <v/>
      </c>
      <c r="AD45" s="388"/>
      <c r="AE45" s="346" t="str">
        <f>IF($AD45="○",VLOOKUP($CB45,参照データ!$D$65:$M$82,10,0),IF($AD45="選手権",VLOOKUP($DE45,参照データ!$D$88:$O$117,11,0),""))</f>
        <v/>
      </c>
      <c r="AF45" s="388"/>
      <c r="AG45" s="346" t="str">
        <f>IF($AF45="○",VLOOKUP($CB45,参照データ!$D$65:$M$82,10,0),IF($AF45="選手権",VLOOKUP($DL45,参照データ!$D$88:$O$117,12,0),""))</f>
        <v/>
      </c>
      <c r="AH45" s="388"/>
      <c r="AI45" s="346" t="str">
        <f>IF($AH45="○",VLOOKUP($CB45,参照データ!$D$65:$M$82,10,0),IF($AH45="選手権",VLOOKUP($DL45,参照データ!$D$88:$O$117,12,0),""))</f>
        <v/>
      </c>
      <c r="AJ45" s="388"/>
      <c r="AK45" s="511"/>
      <c r="AL45" s="346" t="str">
        <f t="shared" si="3"/>
        <v/>
      </c>
      <c r="AM45" s="392"/>
      <c r="AN45" s="391"/>
      <c r="AO45" s="391"/>
      <c r="AP45" s="447"/>
      <c r="AQ45" s="321"/>
      <c r="AR45" s="481"/>
      <c r="AS45" s="393"/>
      <c r="AT45" s="483"/>
      <c r="AW45">
        <f t="shared" si="45"/>
        <v>0</v>
      </c>
      <c r="AX45" t="str">
        <f t="shared" si="33"/>
        <v/>
      </c>
      <c r="AY45" s="132"/>
      <c r="BA45" s="513" t="str">
        <f>IF(団体情報・入力の仕方!$C$3&lt;&gt;"大田区大会","",IF(AW45=0,"",IF(I45&gt;=18,"○","")))</f>
        <v/>
      </c>
      <c r="BB45" s="53" t="str">
        <f>IF($AW45=0,"",IF(AND($I45&gt;=6,$I45&lt;=19),VLOOKUP($I45,参照データ!$B$24:$C$37,2,0),IF($I45&lt;6,6,19)))</f>
        <v/>
      </c>
      <c r="BC45" s="155" t="str">
        <f>IF($J45="○",VLOOKUP($BB45,参照データ!$C$24:$I$37,2,0),"")</f>
        <v/>
      </c>
      <c r="BD45" s="146" t="str">
        <f>IF($K45="○",VLOOKUP($BB45,参照データ!$C$24:$I$37,3,0),"")</f>
        <v/>
      </c>
      <c r="BE45" s="146" t="str">
        <f>IF($L45="○",VLOOKUP($BB45,参照データ!$C$24:$I$37,4,0),"")</f>
        <v/>
      </c>
      <c r="BF45" s="146" t="str">
        <f>IF($M45="○",VLOOKUP($BB45,参照データ!$C$24:$I$37,5,0),"")</f>
        <v/>
      </c>
      <c r="BG45" s="146" t="str">
        <f>IF($N45="20日",VLOOKUP($BB45,参照データ!$C$24:$I$37,6,0),"")</f>
        <v/>
      </c>
      <c r="BH45" s="156" t="str">
        <f>IF($O45="20日",VLOOKUP($BB45,参照データ!$C$24:$I$37,7,0),"")</f>
        <v/>
      </c>
      <c r="BI45" s="155" t="str">
        <f>IF($J45="21日",VLOOKUP($BB45,参照データ!$C$24:$I$37,2,0),"")</f>
        <v/>
      </c>
      <c r="BJ45" s="146" t="str">
        <f>IF($K45="21日",VLOOKUP($BB45,参照データ!$C$24:$I$37,3,0),"")</f>
        <v/>
      </c>
      <c r="BK45" s="146" t="str">
        <f>IF($L45="21日",VLOOKUP($BB45,参照データ!$C$24:$I$37,4,0),"")</f>
        <v/>
      </c>
      <c r="BL45" s="146" t="str">
        <f>IF($M45="21日",VLOOKUP($BB45,参照データ!$C$24:$I$37,5,0),"")</f>
        <v/>
      </c>
      <c r="BM45" s="146" t="str">
        <f>IF($N45="21日",VLOOKUP($BB45,参照データ!$C$24:$I$37,6,0),"")</f>
        <v/>
      </c>
      <c r="BN45" s="156" t="str">
        <f>IF($O45="21日",VLOOKUP($BB45,参照データ!$C$24:$I$37,7,0),"")</f>
        <v/>
      </c>
      <c r="BO45" s="223" t="str">
        <f t="shared" si="40"/>
        <v/>
      </c>
      <c r="BP45" s="154" t="str">
        <f>IF($R45="入門",VLOOKUP($BB45,参照データ!$C$43:$U$56,2,0),IF($R45="初級",VLOOKUP($BB45,参照データ!$C$43:$U$56,3,0),IF($R45="中級",VLOOKUP($BB45,参照データ!$C$43:$U$56,4,0),IF($R45="上級",VLOOKUP($BB45,参照データ!$C$43:$U$56,5,0),""))))</f>
        <v/>
      </c>
      <c r="BQ45" s="154" t="str">
        <f>IF($S45="初級",VLOOKUP($BB45,参照データ!$C$43:$U$56,6,0),IF($S45="中級",VLOOKUP($BB45,参照データ!$C$43:$U$56,7,0),IF($S45="上級",VLOOKUP($BB45,参照データ!$C$43:$U$56,8,0),"")))</f>
        <v/>
      </c>
      <c r="BR45" s="154" t="str">
        <f>IF($T45="初級",VLOOKUP($BB45,参照データ!$C$43:$U$56,9,0),IF($T45="上級",VLOOKUP($BB45,参照データ!$C$43:$U$56,10,0),""))</f>
        <v/>
      </c>
      <c r="BS45" s="154" t="str">
        <f>IF($U45="初級",VLOOKUP($BB45,参照データ!$C$43:$U$56,11,0),IF($U45="中級",VLOOKUP($BB45,参照データ!$C$43:$U$56,12,0),IF($U45="上級",VLOOKUP($BB45,参照データ!$C$43:$U$56,13,0),"")))</f>
        <v/>
      </c>
      <c r="BT45" s="154" t="str">
        <f>IF($V45="初級",VLOOKUP($BB45,参照データ!$C$43:$U$56,14,0),IF($V45="中級",VLOOKUP($BB45,参照データ!$C$43:$U$56,15,0),IF($V45="上級",VLOOKUP($BB45,参照データ!$C$43:$U$56,16,0),"")))</f>
        <v/>
      </c>
      <c r="BU45" s="47" t="str">
        <f t="shared" si="4"/>
        <v/>
      </c>
      <c r="BV45" s="47" t="str">
        <f>IF($W45="初級",VLOOKUP($BB45,参照データ!$C$43:$U$56,17,0),IF($W45="中級",VLOOKUP($BB45,参照データ!$C$43:$U$56,18,0),IF($W45="上級",VLOOKUP($BB45,参照データ!$C$43:$U$56,19,0),"")))</f>
        <v/>
      </c>
      <c r="BW45" s="687"/>
      <c r="BX45" s="65" t="s">
        <v>118</v>
      </c>
      <c r="BY45" s="135" t="str">
        <f t="shared" si="11"/>
        <v/>
      </c>
      <c r="BZ45" s="689"/>
      <c r="CB45" s="53" t="str">
        <f>IF(AND($AW45&gt;=参照データ!$C$67,$AW45&lt;=参照データ!$C$65),1,IF(AND($AW45&gt;=参照データ!$C$70,$AW45&lt;=参照データ!$C$68),2,IF(AND($AW45&gt;=参照データ!$C$73,$AW45&lt;=参照データ!$C$71),3,IF(AND($AW45&gt;=参照データ!$C$76,$AW45&lt;=参照データ!$C$74),4,IF(AND($AW45&gt;=参照データ!$C$79,$AW45&lt;=参照データ!$C$77),5,IF(AND($AW45&gt;0,$AW45&lt;=参照データ!$C$80),6,""))))))</f>
        <v/>
      </c>
      <c r="CC45" s="141" t="str">
        <f>IF($Z45="○",(VLOOKUP($CB45,参照データ!$D$65:$J$82,2,0)),"")</f>
        <v/>
      </c>
      <c r="CD45" s="71" t="str">
        <f t="shared" si="12"/>
        <v/>
      </c>
      <c r="CE45" s="70" t="str">
        <f>IF($AB45="○",(VLOOKUP($CB45,参照データ!$D$65:$J$82,3,0)),"")</f>
        <v/>
      </c>
      <c r="CF45" s="71" t="str">
        <f t="shared" si="13"/>
        <v/>
      </c>
      <c r="CG45" s="70" t="str">
        <f>IF($AD45="○",(VLOOKUP($CB45,参照データ!$D$65:$J$82,4,0)),"")</f>
        <v/>
      </c>
      <c r="CH45" s="71" t="str">
        <f t="shared" si="14"/>
        <v/>
      </c>
      <c r="CI45" s="70" t="str">
        <f>IF($AF45="○",(VLOOKUP($CB45,参照データ!$D$65:$J$82,5,0)),"")</f>
        <v/>
      </c>
      <c r="CJ45" s="71" t="str">
        <f t="shared" si="5"/>
        <v/>
      </c>
      <c r="CK45" s="70" t="str">
        <f>IF($AH45="○",(VLOOKUP($CB45,参照データ!$D$65:$J$82,6,0)),"")</f>
        <v/>
      </c>
      <c r="CL45" s="71" t="str">
        <f t="shared" si="15"/>
        <v/>
      </c>
      <c r="CM45" s="33" t="str">
        <f t="shared" si="16"/>
        <v/>
      </c>
      <c r="CN45" s="32" t="str">
        <f t="shared" si="17"/>
        <v/>
      </c>
      <c r="CO45" s="71" t="str">
        <f t="shared" si="18"/>
        <v/>
      </c>
      <c r="CP45" s="682"/>
      <c r="CQ45" s="77" t="s">
        <v>118</v>
      </c>
      <c r="CR45" s="78" t="str">
        <f t="shared" si="19"/>
        <v/>
      </c>
      <c r="CS45" s="684"/>
      <c r="CT45" s="308" t="str">
        <f t="shared" ref="CT45" si="86">$CT44</f>
        <v/>
      </c>
      <c r="CU45" s="70"/>
      <c r="CV45" s="172" t="str">
        <f t="shared" si="20"/>
        <v/>
      </c>
      <c r="CX45" s="32"/>
      <c r="CY45" s="161" t="str">
        <f t="shared" si="21"/>
        <v/>
      </c>
      <c r="CZ45" s="744"/>
      <c r="DA45" s="164" t="s">
        <v>118</v>
      </c>
      <c r="DB45" s="165" t="str">
        <f t="shared" si="42"/>
        <v/>
      </c>
      <c r="DC45" s="742"/>
      <c r="DD45" t="str">
        <f>IF($DE45="","",DATEDIF($AW45,参照データ!$D$19,"Y"))</f>
        <v/>
      </c>
      <c r="DE45" s="253" t="str">
        <f>IFERROR(IF($AX45="男子",VLOOKUP($DL45,参照データ!$D$88:$E$117,2,0),$DL45),0)</f>
        <v/>
      </c>
      <c r="DF45" s="84" t="str">
        <f>IF($Z45="選手権",(VLOOKUP($DE45,参照データ!$D$88:$K$117,3,0)),"")</f>
        <v/>
      </c>
      <c r="DG45" s="85" t="str">
        <f t="shared" si="6"/>
        <v/>
      </c>
      <c r="DH45" s="84" t="str">
        <f>IF($AB45="選手権",(VLOOKUP($DE45,参照データ!$D$88:$K$117,4,0)),"")</f>
        <v/>
      </c>
      <c r="DI45" s="85" t="str">
        <f t="shared" si="7"/>
        <v/>
      </c>
      <c r="DJ45" s="84" t="str">
        <f>IF($AD45="選手権",(VLOOKUP($DE45,参照データ!$D$88:$K$117,5,0)),"")</f>
        <v/>
      </c>
      <c r="DK45" s="85" t="str">
        <f t="shared" si="8"/>
        <v/>
      </c>
      <c r="DL45" s="53" t="str">
        <f>IF(AND($AW45&gt;=参照データ!$C$90,$AW45&lt;=参照データ!$C$88),1,IF(AND($AW45&gt;=参照データ!$C$93,$AW45&lt;=参照データ!$C$91),2,IF(AND($AW45&gt;=参照データ!$C$99,$AW45&lt;=参照データ!$C$97),3,IF(AND($AW45&gt;=参照データ!$C$105,$AW45&lt;=参照データ!$C$103),4,IF(AND($AW45&gt;=参照データ!$C$111,$AW45&lt;=参照データ!$C$109),5,IF(AND($AW45&gt;0,$AW45&lt;=参照データ!$C$112),6,""))))))</f>
        <v/>
      </c>
      <c r="DM45" s="84" t="str">
        <f>IF($AF45="選手権",(VLOOKUP($DL45,参照データ!$D$88:$K$117,6,0)),"")</f>
        <v/>
      </c>
      <c r="DN45" s="85" t="str">
        <f t="shared" si="9"/>
        <v/>
      </c>
      <c r="DO45" s="84" t="str">
        <f>IF($AH45="選手権",(VLOOKUP($DL45,参照データ!$D$88:$K$117,7,0)),"")</f>
        <v/>
      </c>
      <c r="DP45" s="85" t="str">
        <f t="shared" si="22"/>
        <v/>
      </c>
      <c r="DQ45" s="33" t="str">
        <f t="shared" si="23"/>
        <v/>
      </c>
      <c r="DR45" s="32" t="str">
        <f t="shared" si="24"/>
        <v/>
      </c>
      <c r="DS45" s="85" t="str">
        <f t="shared" si="25"/>
        <v/>
      </c>
      <c r="DT45" s="733"/>
      <c r="DU45" s="91" t="s">
        <v>118</v>
      </c>
      <c r="DV45" s="92" t="str">
        <f t="shared" si="35"/>
        <v/>
      </c>
      <c r="DW45" s="735"/>
      <c r="DX45" s="312" t="str">
        <f>IFERROR(VLOOKUP($DW45,参照データ!$K$88:$O$117,5,0),"")</f>
        <v/>
      </c>
      <c r="DZ45" s="491" t="str">
        <f t="shared" si="26"/>
        <v/>
      </c>
      <c r="EE45" s="35">
        <f>(COUNTIF($J45:$O45,"&lt;&gt;"))*参照データ!$E$3</f>
        <v>0</v>
      </c>
      <c r="EF45" s="219" t="str">
        <f>IF($Y45="○",参照データ!$E$4,"")</f>
        <v/>
      </c>
      <c r="EG45" s="18">
        <f>(SUM(COUNTIF($R45:$V45,{"入門","初級"}))*参照データ!$E$9)+(SUM(COUNTIF($R45:$V45,{"中級","上級"})*参照データ!$E$10))</f>
        <v>0</v>
      </c>
      <c r="EH45" s="18">
        <f>IFERROR(VLOOKUP($W45,参照データ!$D$9:$J$11,7,0),0)</f>
        <v>0</v>
      </c>
      <c r="EI45" s="18">
        <f>((COUNTIF($Z45:$AH45,"○"))*参照データ!$E$12)</f>
        <v>0</v>
      </c>
      <c r="EJ45" s="18" t="str">
        <f>(IF($AJ45="○",参照データ!$J$12,""))</f>
        <v/>
      </c>
      <c r="EM45" s="18">
        <f>((COUNTIF($Z45:$AH45,"選手権"))*参照データ!$E$13)</f>
        <v>0</v>
      </c>
      <c r="EN45" s="18" t="str">
        <f>(IF($AJ45="選手権",参照データ!$J$13,""))</f>
        <v/>
      </c>
      <c r="EO45" s="18">
        <f>(COUNTIF($AQ45:$AR45,"&lt;&gt;"))*参照データ!$H$3</f>
        <v>0</v>
      </c>
      <c r="EP45" s="18"/>
      <c r="EQ45" s="98">
        <f t="array" ref="EQ45">SUM(IF(ISERROR(EE45:EN45),0,(EE45:EN45)))</f>
        <v>0</v>
      </c>
      <c r="ER45" s="18"/>
      <c r="ES45" s="18">
        <f t="shared" si="10"/>
        <v>0</v>
      </c>
      <c r="ET45" s="18">
        <f t="shared" si="36"/>
        <v>0</v>
      </c>
      <c r="EU45" s="18">
        <f t="shared" si="27"/>
        <v>0</v>
      </c>
      <c r="EV45" s="18">
        <f t="shared" si="28"/>
        <v>0</v>
      </c>
      <c r="EW45" s="18">
        <f t="shared" si="29"/>
        <v>0</v>
      </c>
      <c r="EX45" s="18">
        <f t="shared" si="30"/>
        <v>0</v>
      </c>
      <c r="EY45" t="str">
        <f t="shared" si="31"/>
        <v/>
      </c>
    </row>
    <row r="46" spans="1:155" ht="18.75" customHeight="1" x14ac:dyDescent="0.2">
      <c r="A46">
        <v>35</v>
      </c>
      <c r="B46" s="14" t="str">
        <f>IF(D46="","",IF(D46="重複","",COUNTIF(B$12:$B45,"&gt;0")+1))</f>
        <v/>
      </c>
      <c r="C46" s="464"/>
      <c r="D46" s="177"/>
      <c r="E46" s="177"/>
      <c r="F46" s="31"/>
      <c r="G46" s="41"/>
      <c r="H46" s="351">
        <f t="shared" si="32"/>
        <v>0</v>
      </c>
      <c r="I46" s="193" t="str">
        <f>IF($AW46=0,"",DATEDIF($AW46,参照データ!$D$16,"Y"))</f>
        <v/>
      </c>
      <c r="J46" s="517"/>
      <c r="K46" s="517"/>
      <c r="L46" s="517"/>
      <c r="M46" s="517"/>
      <c r="N46" s="517"/>
      <c r="O46" s="518"/>
      <c r="P46" s="345"/>
      <c r="Q46" s="345"/>
      <c r="R46" s="519"/>
      <c r="S46" s="244"/>
      <c r="T46" s="244"/>
      <c r="U46" s="244"/>
      <c r="V46" s="245"/>
      <c r="W46" s="248"/>
      <c r="X46" s="250"/>
      <c r="Y46" s="345"/>
      <c r="Z46" s="388"/>
      <c r="AA46" s="346" t="str">
        <f>IF($Z46="○",VLOOKUP($CB46,参照データ!$D$65:$M$82,9,0),IF($Z46="選手権",VLOOKUP($DE46,参照データ!$D$88:$O$117,10,0),""))</f>
        <v/>
      </c>
      <c r="AB46" s="388"/>
      <c r="AC46" s="346" t="str">
        <f>IF($AB46="○",VLOOKUP($CB46,参照データ!$D$65:$M$82,10,0),IF($AB46="選手権",VLOOKUP($DE46,参照データ!$D$88:$O$117,11,0),""))</f>
        <v/>
      </c>
      <c r="AD46" s="388"/>
      <c r="AE46" s="346" t="str">
        <f>IF($AD46="○",VLOOKUP($CB46,参照データ!$D$65:$M$82,10,0),IF($AD46="選手権",VLOOKUP($DE46,参照データ!$D$88:$O$117,11,0),""))</f>
        <v/>
      </c>
      <c r="AF46" s="388"/>
      <c r="AG46" s="346" t="str">
        <f>IF($AF46="○",VLOOKUP($CB46,参照データ!$D$65:$M$82,10,0),IF($AF46="選手権",VLOOKUP($DL46,参照データ!$D$88:$O$117,12,0),""))</f>
        <v/>
      </c>
      <c r="AH46" s="388"/>
      <c r="AI46" s="346" t="str">
        <f>IF($AH46="○",VLOOKUP($CB46,参照データ!$D$65:$M$82,10,0),IF($AH46="選手権",VLOOKUP($DL46,参照データ!$D$88:$O$117,12,0),""))</f>
        <v/>
      </c>
      <c r="AJ46" s="388"/>
      <c r="AK46" s="511"/>
      <c r="AL46" s="346" t="str">
        <f t="shared" si="3"/>
        <v/>
      </c>
      <c r="AM46" s="392"/>
      <c r="AN46" s="391"/>
      <c r="AO46" s="391"/>
      <c r="AP46" s="447"/>
      <c r="AQ46" s="321"/>
      <c r="AR46" s="481"/>
      <c r="AS46" s="393"/>
      <c r="AT46" s="483"/>
      <c r="AW46">
        <f t="shared" si="45"/>
        <v>0</v>
      </c>
      <c r="AX46" t="str">
        <f t="shared" si="33"/>
        <v/>
      </c>
      <c r="AY46" s="132"/>
      <c r="BA46" s="513" t="str">
        <f>IF(団体情報・入力の仕方!$C$3&lt;&gt;"大田区大会","",IF(AW46=0,"",IF(I46&gt;=18,"○","")))</f>
        <v/>
      </c>
      <c r="BB46" s="53" t="str">
        <f>IF($AW46=0,"",IF(AND($I46&gt;=6,$I46&lt;=19),VLOOKUP($I46,参照データ!$B$24:$C$37,2,0),IF($I46&lt;6,6,19)))</f>
        <v/>
      </c>
      <c r="BC46" s="155" t="str">
        <f>IF($J46="○",VLOOKUP($BB46,参照データ!$C$24:$I$37,2,0),"")</f>
        <v/>
      </c>
      <c r="BD46" s="146" t="str">
        <f>IF($K46="○",VLOOKUP($BB46,参照データ!$C$24:$I$37,3,0),"")</f>
        <v/>
      </c>
      <c r="BE46" s="146" t="str">
        <f>IF($L46="○",VLOOKUP($BB46,参照データ!$C$24:$I$37,4,0),"")</f>
        <v/>
      </c>
      <c r="BF46" s="146" t="str">
        <f>IF($M46="○",VLOOKUP($BB46,参照データ!$C$24:$I$37,5,0),"")</f>
        <v/>
      </c>
      <c r="BG46" s="146" t="str">
        <f>IF($N46="20日",VLOOKUP($BB46,参照データ!$C$24:$I$37,6,0),"")</f>
        <v/>
      </c>
      <c r="BH46" s="156" t="str">
        <f>IF($O46="20日",VLOOKUP($BB46,参照データ!$C$24:$I$37,7,0),"")</f>
        <v/>
      </c>
      <c r="BI46" s="155" t="str">
        <f>IF($J46="21日",VLOOKUP($BB46,参照データ!$C$24:$I$37,2,0),"")</f>
        <v/>
      </c>
      <c r="BJ46" s="146" t="str">
        <f>IF($K46="21日",VLOOKUP($BB46,参照データ!$C$24:$I$37,3,0),"")</f>
        <v/>
      </c>
      <c r="BK46" s="146" t="str">
        <f>IF($L46="21日",VLOOKUP($BB46,参照データ!$C$24:$I$37,4,0),"")</f>
        <v/>
      </c>
      <c r="BL46" s="146" t="str">
        <f>IF($M46="21日",VLOOKUP($BB46,参照データ!$C$24:$I$37,5,0),"")</f>
        <v/>
      </c>
      <c r="BM46" s="146" t="str">
        <f>IF($N46="21日",VLOOKUP($BB46,参照データ!$C$24:$I$37,6,0),"")</f>
        <v/>
      </c>
      <c r="BN46" s="156" t="str">
        <f>IF($O46="21日",VLOOKUP($BB46,参照データ!$C$24:$I$37,7,0),"")</f>
        <v/>
      </c>
      <c r="BO46" s="223" t="str">
        <f t="shared" si="40"/>
        <v/>
      </c>
      <c r="BP46" s="154" t="str">
        <f>IF($R46="入門",VLOOKUP($BB46,参照データ!$C$43:$U$56,2,0),IF($R46="初級",VLOOKUP($BB46,参照データ!$C$43:$U$56,3,0),IF($R46="中級",VLOOKUP($BB46,参照データ!$C$43:$U$56,4,0),IF($R46="上級",VLOOKUP($BB46,参照データ!$C$43:$U$56,5,0),""))))</f>
        <v/>
      </c>
      <c r="BQ46" s="154" t="str">
        <f>IF($S46="初級",VLOOKUP($BB46,参照データ!$C$43:$U$56,6,0),IF($S46="中級",VLOOKUP($BB46,参照データ!$C$43:$U$56,7,0),IF($S46="上級",VLOOKUP($BB46,参照データ!$C$43:$U$56,8,0),"")))</f>
        <v/>
      </c>
      <c r="BR46" s="154" t="str">
        <f>IF($T46="初級",VLOOKUP($BB46,参照データ!$C$43:$U$56,9,0),IF($T46="上級",VLOOKUP($BB46,参照データ!$C$43:$U$56,10,0),""))</f>
        <v/>
      </c>
      <c r="BS46" s="154" t="str">
        <f>IF($U46="初級",VLOOKUP($BB46,参照データ!$C$43:$U$56,11,0),IF($U46="中級",VLOOKUP($BB46,参照データ!$C$43:$U$56,12,0),IF($U46="上級",VLOOKUP($BB46,参照データ!$C$43:$U$56,13,0),"")))</f>
        <v/>
      </c>
      <c r="BT46" s="154" t="str">
        <f>IF($V46="初級",VLOOKUP($BB46,参照データ!$C$43:$U$56,14,0),IF($V46="中級",VLOOKUP($BB46,参照データ!$C$43:$U$56,15,0),IF($V46="上級",VLOOKUP($BB46,参照データ!$C$43:$U$56,16,0),"")))</f>
        <v/>
      </c>
      <c r="BU46" s="47" t="str">
        <f t="shared" si="4"/>
        <v/>
      </c>
      <c r="BV46" s="47" t="str">
        <f>IF($W46="初級",VLOOKUP($BB46,参照データ!$C$43:$U$56,17,0),IF($W46="中級",VLOOKUP($BB46,参照データ!$C$43:$U$56,18,0),IF($W46="上級",VLOOKUP($BB46,参照データ!$C$43:$U$56,19,0),"")))</f>
        <v/>
      </c>
      <c r="BW46" s="686">
        <v>18</v>
      </c>
      <c r="BX46" s="66" t="s">
        <v>119</v>
      </c>
      <c r="BY46" s="136" t="str">
        <f t="shared" si="11"/>
        <v/>
      </c>
      <c r="BZ46" s="688" t="str">
        <f t="shared" ref="BZ46" si="87">IF(OR($BY46="",$BY47=""),"",IF($BY46&gt;$BY47,$BY46,$BY47))</f>
        <v/>
      </c>
      <c r="CB46" s="53" t="str">
        <f>IF(AND($AW46&gt;=参照データ!$C$67,$AW46&lt;=参照データ!$C$65),1,IF(AND($AW46&gt;=参照データ!$C$70,$AW46&lt;=参照データ!$C$68),2,IF(AND($AW46&gt;=参照データ!$C$73,$AW46&lt;=参照データ!$C$71),3,IF(AND($AW46&gt;=参照データ!$C$76,$AW46&lt;=参照データ!$C$74),4,IF(AND($AW46&gt;=参照データ!$C$79,$AW46&lt;=参照データ!$C$77),5,IF(AND($AW46&gt;0,$AW46&lt;=参照データ!$C$80),6,""))))))</f>
        <v/>
      </c>
      <c r="CC46" s="141" t="str">
        <f>IF($Z46="○",(VLOOKUP($CB46,参照データ!$D$65:$J$82,2,0)),"")</f>
        <v/>
      </c>
      <c r="CD46" s="71" t="str">
        <f t="shared" si="12"/>
        <v/>
      </c>
      <c r="CE46" s="70" t="str">
        <f>IF($AB46="○",(VLOOKUP($CB46,参照データ!$D$65:$J$82,3,0)),"")</f>
        <v/>
      </c>
      <c r="CF46" s="71" t="str">
        <f t="shared" si="13"/>
        <v/>
      </c>
      <c r="CG46" s="70" t="str">
        <f>IF($AD46="○",(VLOOKUP($CB46,参照データ!$D$65:$J$82,4,0)),"")</f>
        <v/>
      </c>
      <c r="CH46" s="71" t="str">
        <f t="shared" si="14"/>
        <v/>
      </c>
      <c r="CI46" s="70" t="str">
        <f>IF($AF46="○",(VLOOKUP($CB46,参照データ!$D$65:$J$82,5,0)),"")</f>
        <v/>
      </c>
      <c r="CJ46" s="71" t="str">
        <f t="shared" si="5"/>
        <v/>
      </c>
      <c r="CK46" s="70" t="str">
        <f>IF($AH46="○",(VLOOKUP($CB46,参照データ!$D$65:$J$82,6,0)),"")</f>
        <v/>
      </c>
      <c r="CL46" s="71" t="str">
        <f t="shared" si="15"/>
        <v/>
      </c>
      <c r="CM46" s="33" t="str">
        <f t="shared" si="16"/>
        <v/>
      </c>
      <c r="CN46" s="32" t="str">
        <f t="shared" si="17"/>
        <v/>
      </c>
      <c r="CO46" s="71" t="str">
        <f t="shared" si="18"/>
        <v/>
      </c>
      <c r="CP46" s="681">
        <v>18</v>
      </c>
      <c r="CQ46" s="79" t="s">
        <v>119</v>
      </c>
      <c r="CR46" s="80" t="str">
        <f t="shared" si="19"/>
        <v/>
      </c>
      <c r="CS46" s="683" t="e">
        <f>IF($CR46&gt;$CR47,VLOOKUP($CR46,参照データ!$D$65:$J$82,7,0),VLOOKUP($CR47,参照データ!$D$65:$J$82,7,0))</f>
        <v>#N/A</v>
      </c>
      <c r="CT46" s="308" t="str">
        <f>IFERROR(VLOOKUP($CS46,参照データ!$J$65:$M$82,4,0),"")</f>
        <v/>
      </c>
      <c r="CU46" s="70"/>
      <c r="CV46" s="172" t="str">
        <f t="shared" si="20"/>
        <v/>
      </c>
      <c r="CX46" s="32"/>
      <c r="CY46" s="161" t="str">
        <f t="shared" si="21"/>
        <v/>
      </c>
      <c r="CZ46" s="743">
        <v>18</v>
      </c>
      <c r="DA46" s="166" t="s">
        <v>119</v>
      </c>
      <c r="DB46" s="167" t="str">
        <f t="shared" si="42"/>
        <v/>
      </c>
      <c r="DC46" s="741" t="str">
        <f>IF(OR(DB46="",DB47=""),"",IF(DB46&gt;DB47,DB46,DB47))</f>
        <v/>
      </c>
      <c r="DD46" t="str">
        <f>IF($DE46="","",DATEDIF($AW46,参照データ!$D$19,"Y"))</f>
        <v/>
      </c>
      <c r="DE46" s="253" t="str">
        <f>IFERROR(IF($AX46="男子",VLOOKUP($DL46,参照データ!$D$88:$E$117,2,0),$DL46),0)</f>
        <v/>
      </c>
      <c r="DF46" s="84" t="str">
        <f>IF($Z46="選手権",(VLOOKUP($DE46,参照データ!$D$88:$K$117,3,0)),"")</f>
        <v/>
      </c>
      <c r="DG46" s="85" t="str">
        <f t="shared" si="6"/>
        <v/>
      </c>
      <c r="DH46" s="84" t="str">
        <f>IF($AB46="選手権",(VLOOKUP($DE46,参照データ!$D$88:$K$117,4,0)),"")</f>
        <v/>
      </c>
      <c r="DI46" s="85" t="str">
        <f t="shared" si="7"/>
        <v/>
      </c>
      <c r="DJ46" s="84" t="str">
        <f>IF($AD46="選手権",(VLOOKUP($DE46,参照データ!$D$88:$K$117,5,0)),"")</f>
        <v/>
      </c>
      <c r="DK46" s="85" t="str">
        <f t="shared" si="8"/>
        <v/>
      </c>
      <c r="DL46" s="53" t="str">
        <f>IF(AND($AW46&gt;=参照データ!$C$90,$AW46&lt;=参照データ!$C$88),1,IF(AND($AW46&gt;=参照データ!$C$93,$AW46&lt;=参照データ!$C$91),2,IF(AND($AW46&gt;=参照データ!$C$99,$AW46&lt;=参照データ!$C$97),3,IF(AND($AW46&gt;=参照データ!$C$105,$AW46&lt;=参照データ!$C$103),4,IF(AND($AW46&gt;=参照データ!$C$111,$AW46&lt;=参照データ!$C$109),5,IF(AND($AW46&gt;0,$AW46&lt;=参照データ!$C$112),6,""))))))</f>
        <v/>
      </c>
      <c r="DM46" s="84" t="str">
        <f>IF($AF46="選手権",(VLOOKUP($DL46,参照データ!$D$88:$K$117,6,0)),"")</f>
        <v/>
      </c>
      <c r="DN46" s="85" t="str">
        <f t="shared" si="9"/>
        <v/>
      </c>
      <c r="DO46" s="84" t="str">
        <f>IF($AH46="選手権",(VLOOKUP($DL46,参照データ!$D$88:$K$117,7,0)),"")</f>
        <v/>
      </c>
      <c r="DP46" s="85" t="str">
        <f t="shared" si="22"/>
        <v/>
      </c>
      <c r="DQ46" s="33" t="str">
        <f t="shared" si="23"/>
        <v/>
      </c>
      <c r="DR46" s="32" t="str">
        <f t="shared" si="24"/>
        <v/>
      </c>
      <c r="DS46" s="85" t="str">
        <f t="shared" si="25"/>
        <v/>
      </c>
      <c r="DT46" s="736">
        <v>18</v>
      </c>
      <c r="DU46" s="93" t="s">
        <v>119</v>
      </c>
      <c r="DV46" s="94" t="str">
        <f t="shared" si="35"/>
        <v/>
      </c>
      <c r="DW46" s="737" t="e">
        <f>IF($DV46&gt;$DV47,VLOOKUP($DV46,参照データ!$D$88:$K$117,8,0),VLOOKUP($DV47,参照データ!$D$88:$K$117,8,0))</f>
        <v>#N/A</v>
      </c>
      <c r="DX46" s="312" t="str">
        <f t="shared" ref="DX46" si="88">$DX45</f>
        <v/>
      </c>
      <c r="DZ46" s="491" t="str">
        <f t="shared" si="26"/>
        <v/>
      </c>
      <c r="EE46" s="35">
        <f>(COUNTIF($J46:$O46,"&lt;&gt;"))*参照データ!$E$3</f>
        <v>0</v>
      </c>
      <c r="EF46" s="219" t="str">
        <f>IF($Y46="○",参照データ!$E$4,"")</f>
        <v/>
      </c>
      <c r="EG46" s="18">
        <f>(SUM(COUNTIF($R46:$V46,{"入門","初級"}))*参照データ!$E$9)+(SUM(COUNTIF($R46:$V46,{"中級","上級"})*参照データ!$E$10))</f>
        <v>0</v>
      </c>
      <c r="EH46" s="18">
        <f>IFERROR(VLOOKUP($W46,参照データ!$D$9:$J$11,7,0),0)</f>
        <v>0</v>
      </c>
      <c r="EI46" s="18">
        <f>((COUNTIF($Z46:$AH46,"○"))*参照データ!$E$12)</f>
        <v>0</v>
      </c>
      <c r="EJ46" s="18" t="str">
        <f>(IF($AJ46="○",参照データ!$J$12,""))</f>
        <v/>
      </c>
      <c r="EM46" s="18">
        <f>((COUNTIF($Z46:$AH46,"選手権"))*参照データ!$E$13)</f>
        <v>0</v>
      </c>
      <c r="EN46" s="18" t="str">
        <f>(IF($AJ46="選手権",参照データ!$J$13,""))</f>
        <v/>
      </c>
      <c r="EO46" s="18">
        <f>(COUNTIF($AQ46:$AR46,"&lt;&gt;"))*参照データ!$H$3</f>
        <v>0</v>
      </c>
      <c r="EP46" s="18"/>
      <c r="EQ46" s="98">
        <f t="array" ref="EQ46">SUM(IF(ISERROR(EE46:EN46),0,(EE46:EN46)))</f>
        <v>0</v>
      </c>
      <c r="ER46" s="18"/>
      <c r="ES46" s="18">
        <f t="shared" si="10"/>
        <v>0</v>
      </c>
      <c r="ET46" s="18">
        <f t="shared" si="36"/>
        <v>0</v>
      </c>
      <c r="EU46" s="18">
        <f t="shared" si="27"/>
        <v>0</v>
      </c>
      <c r="EV46" s="18">
        <f t="shared" si="28"/>
        <v>0</v>
      </c>
      <c r="EW46" s="18">
        <f t="shared" si="29"/>
        <v>0</v>
      </c>
      <c r="EX46" s="18">
        <f t="shared" si="30"/>
        <v>0</v>
      </c>
      <c r="EY46" t="str">
        <f t="shared" si="31"/>
        <v/>
      </c>
    </row>
    <row r="47" spans="1:155" ht="18.75" customHeight="1" x14ac:dyDescent="0.2">
      <c r="A47">
        <v>36</v>
      </c>
      <c r="B47" s="14" t="str">
        <f>IF(D47="","",IF(D47="重複","",COUNTIF(B$12:$B46,"&gt;0")+1))</f>
        <v/>
      </c>
      <c r="C47" s="464"/>
      <c r="D47" s="177"/>
      <c r="E47" s="177"/>
      <c r="F47" s="31"/>
      <c r="G47" s="41"/>
      <c r="H47" s="351">
        <f t="shared" si="32"/>
        <v>0</v>
      </c>
      <c r="I47" s="193" t="str">
        <f>IF($AW47=0,"",DATEDIF($AW47,参照データ!$D$16,"Y"))</f>
        <v/>
      </c>
      <c r="J47" s="517"/>
      <c r="K47" s="517"/>
      <c r="L47" s="517"/>
      <c r="M47" s="517"/>
      <c r="N47" s="517"/>
      <c r="O47" s="518"/>
      <c r="P47" s="345"/>
      <c r="Q47" s="345"/>
      <c r="R47" s="519"/>
      <c r="S47" s="244"/>
      <c r="T47" s="244"/>
      <c r="U47" s="244"/>
      <c r="V47" s="245"/>
      <c r="W47" s="248"/>
      <c r="X47" s="250"/>
      <c r="Y47" s="345"/>
      <c r="Z47" s="388"/>
      <c r="AA47" s="346" t="str">
        <f>IF($Z47="○",VLOOKUP($CB47,参照データ!$D$65:$M$82,9,0),IF($Z47="選手権",VLOOKUP($DE47,参照データ!$D$88:$O$117,10,0),""))</f>
        <v/>
      </c>
      <c r="AB47" s="388"/>
      <c r="AC47" s="346" t="str">
        <f>IF($AB47="○",VLOOKUP($CB47,参照データ!$D$65:$M$82,10,0),IF($AB47="選手権",VLOOKUP($DE47,参照データ!$D$88:$O$117,11,0),""))</f>
        <v/>
      </c>
      <c r="AD47" s="388"/>
      <c r="AE47" s="346" t="str">
        <f>IF($AD47="○",VLOOKUP($CB47,参照データ!$D$65:$M$82,10,0),IF($AD47="選手権",VLOOKUP($DE47,参照データ!$D$88:$O$117,11,0),""))</f>
        <v/>
      </c>
      <c r="AF47" s="388"/>
      <c r="AG47" s="346" t="str">
        <f>IF($AF47="○",VLOOKUP($CB47,参照データ!$D$65:$M$82,10,0),IF($AF47="選手権",VLOOKUP($DL47,参照データ!$D$88:$O$117,12,0),""))</f>
        <v/>
      </c>
      <c r="AH47" s="388"/>
      <c r="AI47" s="346" t="str">
        <f>IF($AH47="○",VLOOKUP($CB47,参照データ!$D$65:$M$82,10,0),IF($AH47="選手権",VLOOKUP($DL47,参照データ!$D$88:$O$117,12,0),""))</f>
        <v/>
      </c>
      <c r="AJ47" s="388"/>
      <c r="AK47" s="511"/>
      <c r="AL47" s="346" t="str">
        <f t="shared" si="3"/>
        <v/>
      </c>
      <c r="AM47" s="392"/>
      <c r="AN47" s="391"/>
      <c r="AO47" s="391"/>
      <c r="AP47" s="447"/>
      <c r="AQ47" s="321"/>
      <c r="AR47" s="481"/>
      <c r="AS47" s="393"/>
      <c r="AT47" s="483"/>
      <c r="AW47">
        <f t="shared" si="45"/>
        <v>0</v>
      </c>
      <c r="AX47" t="str">
        <f t="shared" si="33"/>
        <v/>
      </c>
      <c r="AY47" s="132"/>
      <c r="BA47" s="513" t="str">
        <f>IF(団体情報・入力の仕方!$C$3&lt;&gt;"大田区大会","",IF(AW47=0,"",IF(I47&gt;=18,"○","")))</f>
        <v/>
      </c>
      <c r="BB47" s="53" t="str">
        <f>IF($AW47=0,"",IF(AND($I47&gt;=6,$I47&lt;=19),VLOOKUP($I47,参照データ!$B$24:$C$37,2,0),IF($I47&lt;6,6,19)))</f>
        <v/>
      </c>
      <c r="BC47" s="155" t="str">
        <f>IF($J47="○",VLOOKUP($BB47,参照データ!$C$24:$I$37,2,0),"")</f>
        <v/>
      </c>
      <c r="BD47" s="146" t="str">
        <f>IF($K47="○",VLOOKUP($BB47,参照データ!$C$24:$I$37,3,0),"")</f>
        <v/>
      </c>
      <c r="BE47" s="146" t="str">
        <f>IF($L47="○",VLOOKUP($BB47,参照データ!$C$24:$I$37,4,0),"")</f>
        <v/>
      </c>
      <c r="BF47" s="146" t="str">
        <f>IF($M47="○",VLOOKUP($BB47,参照データ!$C$24:$I$37,5,0),"")</f>
        <v/>
      </c>
      <c r="BG47" s="146" t="str">
        <f>IF($N47="20日",VLOOKUP($BB47,参照データ!$C$24:$I$37,6,0),"")</f>
        <v/>
      </c>
      <c r="BH47" s="156" t="str">
        <f>IF($O47="20日",VLOOKUP($BB47,参照データ!$C$24:$I$37,7,0),"")</f>
        <v/>
      </c>
      <c r="BI47" s="155" t="str">
        <f>IF($J47="21日",VLOOKUP($BB47,参照データ!$C$24:$I$37,2,0),"")</f>
        <v/>
      </c>
      <c r="BJ47" s="146" t="str">
        <f>IF($K47="21日",VLOOKUP($BB47,参照データ!$C$24:$I$37,3,0),"")</f>
        <v/>
      </c>
      <c r="BK47" s="146" t="str">
        <f>IF($L47="21日",VLOOKUP($BB47,参照データ!$C$24:$I$37,4,0),"")</f>
        <v/>
      </c>
      <c r="BL47" s="146" t="str">
        <f>IF($M47="21日",VLOOKUP($BB47,参照データ!$C$24:$I$37,5,0),"")</f>
        <v/>
      </c>
      <c r="BM47" s="146" t="str">
        <f>IF($N47="21日",VLOOKUP($BB47,参照データ!$C$24:$I$37,6,0),"")</f>
        <v/>
      </c>
      <c r="BN47" s="156" t="str">
        <f>IF($O47="21日",VLOOKUP($BB47,参照データ!$C$24:$I$37,7,0),"")</f>
        <v/>
      </c>
      <c r="BO47" s="223" t="str">
        <f t="shared" si="40"/>
        <v/>
      </c>
      <c r="BP47" s="154" t="str">
        <f>IF($R47="入門",VLOOKUP($BB47,参照データ!$C$43:$U$56,2,0),IF($R47="初級",VLOOKUP($BB47,参照データ!$C$43:$U$56,3,0),IF($R47="中級",VLOOKUP($BB47,参照データ!$C$43:$U$56,4,0),IF($R47="上級",VLOOKUP($BB47,参照データ!$C$43:$U$56,5,0),""))))</f>
        <v/>
      </c>
      <c r="BQ47" s="154" t="str">
        <f>IF($S47="初級",VLOOKUP($BB47,参照データ!$C$43:$U$56,6,0),IF($S47="中級",VLOOKUP($BB47,参照データ!$C$43:$U$56,7,0),IF($S47="上級",VLOOKUP($BB47,参照データ!$C$43:$U$56,8,0),"")))</f>
        <v/>
      </c>
      <c r="BR47" s="154" t="str">
        <f>IF($T47="初級",VLOOKUP($BB47,参照データ!$C$43:$U$56,9,0),IF($T47="上級",VLOOKUP($BB47,参照データ!$C$43:$U$56,10,0),""))</f>
        <v/>
      </c>
      <c r="BS47" s="154" t="str">
        <f>IF($U47="初級",VLOOKUP($BB47,参照データ!$C$43:$U$56,11,0),IF($U47="中級",VLOOKUP($BB47,参照データ!$C$43:$U$56,12,0),IF($U47="上級",VLOOKUP($BB47,参照データ!$C$43:$U$56,13,0),"")))</f>
        <v/>
      </c>
      <c r="BT47" s="154" t="str">
        <f>IF($V47="初級",VLOOKUP($BB47,参照データ!$C$43:$U$56,14,0),IF($V47="中級",VLOOKUP($BB47,参照データ!$C$43:$U$56,15,0),IF($V47="上級",VLOOKUP($BB47,参照データ!$C$43:$U$56,16,0),"")))</f>
        <v/>
      </c>
      <c r="BU47" s="47" t="str">
        <f t="shared" si="4"/>
        <v/>
      </c>
      <c r="BV47" s="47" t="str">
        <f>IF($W47="初級",VLOOKUP($BB47,参照データ!$C$43:$U$56,17,0),IF($W47="中級",VLOOKUP($BB47,参照データ!$C$43:$U$56,18,0),IF($W47="上級",VLOOKUP($BB47,参照データ!$C$43:$U$56,19,0),"")))</f>
        <v/>
      </c>
      <c r="BW47" s="687"/>
      <c r="BX47" s="65" t="s">
        <v>120</v>
      </c>
      <c r="BY47" s="135" t="str">
        <f t="shared" si="11"/>
        <v/>
      </c>
      <c r="BZ47" s="689"/>
      <c r="CB47" s="53" t="str">
        <f>IF(AND($AW47&gt;=参照データ!$C$67,$AW47&lt;=参照データ!$C$65),1,IF(AND($AW47&gt;=参照データ!$C$70,$AW47&lt;=参照データ!$C$68),2,IF(AND($AW47&gt;=参照データ!$C$73,$AW47&lt;=参照データ!$C$71),3,IF(AND($AW47&gt;=参照データ!$C$76,$AW47&lt;=参照データ!$C$74),4,IF(AND($AW47&gt;=参照データ!$C$79,$AW47&lt;=参照データ!$C$77),5,IF(AND($AW47&gt;0,$AW47&lt;=参照データ!$C$80),6,""))))))</f>
        <v/>
      </c>
      <c r="CC47" s="141" t="str">
        <f>IF($Z47="○",(VLOOKUP($CB47,参照データ!$D$65:$J$82,2,0)),"")</f>
        <v/>
      </c>
      <c r="CD47" s="71" t="str">
        <f t="shared" si="12"/>
        <v/>
      </c>
      <c r="CE47" s="70" t="str">
        <f>IF($AB47="○",(VLOOKUP($CB47,参照データ!$D$65:$J$82,3,0)),"")</f>
        <v/>
      </c>
      <c r="CF47" s="71" t="str">
        <f t="shared" si="13"/>
        <v/>
      </c>
      <c r="CG47" s="70" t="str">
        <f>IF($AD47="○",(VLOOKUP($CB47,参照データ!$D$65:$J$82,4,0)),"")</f>
        <v/>
      </c>
      <c r="CH47" s="71" t="str">
        <f t="shared" si="14"/>
        <v/>
      </c>
      <c r="CI47" s="70" t="str">
        <f>IF($AF47="○",(VLOOKUP($CB47,参照データ!$D$65:$J$82,5,0)),"")</f>
        <v/>
      </c>
      <c r="CJ47" s="71" t="str">
        <f t="shared" si="5"/>
        <v/>
      </c>
      <c r="CK47" s="70" t="str">
        <f>IF($AH47="○",(VLOOKUP($CB47,参照データ!$D$65:$J$82,6,0)),"")</f>
        <v/>
      </c>
      <c r="CL47" s="71" t="str">
        <f t="shared" si="15"/>
        <v/>
      </c>
      <c r="CM47" s="33" t="str">
        <f t="shared" si="16"/>
        <v/>
      </c>
      <c r="CN47" s="32" t="str">
        <f t="shared" si="17"/>
        <v/>
      </c>
      <c r="CO47" s="71" t="str">
        <f t="shared" si="18"/>
        <v/>
      </c>
      <c r="CP47" s="682"/>
      <c r="CQ47" s="77" t="s">
        <v>120</v>
      </c>
      <c r="CR47" s="78" t="str">
        <f t="shared" si="19"/>
        <v/>
      </c>
      <c r="CS47" s="684"/>
      <c r="CT47" s="308" t="str">
        <f t="shared" ref="CT47" si="89">$CT46</f>
        <v/>
      </c>
      <c r="CU47" s="70"/>
      <c r="CV47" s="172" t="str">
        <f t="shared" si="20"/>
        <v/>
      </c>
      <c r="CX47" s="32"/>
      <c r="CY47" s="161" t="str">
        <f t="shared" si="21"/>
        <v/>
      </c>
      <c r="CZ47" s="744"/>
      <c r="DA47" s="164" t="s">
        <v>120</v>
      </c>
      <c r="DB47" s="165" t="str">
        <f t="shared" si="42"/>
        <v/>
      </c>
      <c r="DC47" s="742"/>
      <c r="DD47" t="str">
        <f>IF($DE47="","",DATEDIF($AW47,参照データ!$D$19,"Y"))</f>
        <v/>
      </c>
      <c r="DE47" s="253" t="str">
        <f>IFERROR(IF($AX47="男子",VLOOKUP($DL47,参照データ!$D$88:$E$117,2,0),$DL47),0)</f>
        <v/>
      </c>
      <c r="DF47" s="84" t="str">
        <f>IF($Z47="選手権",(VLOOKUP($DE47,参照データ!$D$88:$K$117,3,0)),"")</f>
        <v/>
      </c>
      <c r="DG47" s="85" t="str">
        <f t="shared" si="6"/>
        <v/>
      </c>
      <c r="DH47" s="84" t="str">
        <f>IF($AB47="選手権",(VLOOKUP($DE47,参照データ!$D$88:$K$117,4,0)),"")</f>
        <v/>
      </c>
      <c r="DI47" s="85" t="str">
        <f t="shared" si="7"/>
        <v/>
      </c>
      <c r="DJ47" s="84" t="str">
        <f>IF($AD47="選手権",(VLOOKUP($DE47,参照データ!$D$88:$K$117,5,0)),"")</f>
        <v/>
      </c>
      <c r="DK47" s="85" t="str">
        <f t="shared" si="8"/>
        <v/>
      </c>
      <c r="DL47" s="53" t="str">
        <f>IF(AND($AW47&gt;=参照データ!$C$90,$AW47&lt;=参照データ!$C$88),1,IF(AND($AW47&gt;=参照データ!$C$93,$AW47&lt;=参照データ!$C$91),2,IF(AND($AW47&gt;=参照データ!$C$99,$AW47&lt;=参照データ!$C$97),3,IF(AND($AW47&gt;=参照データ!$C$105,$AW47&lt;=参照データ!$C$103),4,IF(AND($AW47&gt;=参照データ!$C$111,$AW47&lt;=参照データ!$C$109),5,IF(AND($AW47&gt;0,$AW47&lt;=参照データ!$C$112),6,""))))))</f>
        <v/>
      </c>
      <c r="DM47" s="84" t="str">
        <f>IF($AF47="選手権",(VLOOKUP($DL47,参照データ!$D$88:$K$117,6,0)),"")</f>
        <v/>
      </c>
      <c r="DN47" s="85" t="str">
        <f t="shared" si="9"/>
        <v/>
      </c>
      <c r="DO47" s="84" t="str">
        <f>IF($AH47="選手権",(VLOOKUP($DL47,参照データ!$D$88:$K$117,7,0)),"")</f>
        <v/>
      </c>
      <c r="DP47" s="85" t="str">
        <f t="shared" si="22"/>
        <v/>
      </c>
      <c r="DQ47" s="33" t="str">
        <f t="shared" si="23"/>
        <v/>
      </c>
      <c r="DR47" s="32" t="str">
        <f t="shared" si="24"/>
        <v/>
      </c>
      <c r="DS47" s="85" t="str">
        <f t="shared" si="25"/>
        <v/>
      </c>
      <c r="DT47" s="733"/>
      <c r="DU47" s="91" t="s">
        <v>120</v>
      </c>
      <c r="DV47" s="92" t="str">
        <f t="shared" si="35"/>
        <v/>
      </c>
      <c r="DW47" s="735"/>
      <c r="DX47" s="312" t="str">
        <f>IFERROR(VLOOKUP($DW47,参照データ!$K$88:$O$117,5,0),"")</f>
        <v/>
      </c>
      <c r="DZ47" s="491" t="str">
        <f t="shared" si="26"/>
        <v/>
      </c>
      <c r="EE47" s="35">
        <f>(COUNTIF($J47:$O47,"&lt;&gt;"))*参照データ!$E$3</f>
        <v>0</v>
      </c>
      <c r="EF47" s="219" t="str">
        <f>IF($Y47="○",参照データ!$E$4,"")</f>
        <v/>
      </c>
      <c r="EG47" s="18">
        <f>(SUM(COUNTIF($R47:$V47,{"入門","初級"}))*参照データ!$E$9)+(SUM(COUNTIF($R47:$V47,{"中級","上級"})*参照データ!$E$10))</f>
        <v>0</v>
      </c>
      <c r="EH47" s="18">
        <f>IFERROR(VLOOKUP($W47,参照データ!$D$9:$J$11,7,0),0)</f>
        <v>0</v>
      </c>
      <c r="EI47" s="18">
        <f>((COUNTIF($Z47:$AH47,"○"))*参照データ!$E$12)</f>
        <v>0</v>
      </c>
      <c r="EJ47" s="18" t="str">
        <f>(IF($AJ47="○",参照データ!$J$12,""))</f>
        <v/>
      </c>
      <c r="EM47" s="18">
        <f>((COUNTIF($Z47:$AH47,"選手権"))*参照データ!$E$13)</f>
        <v>0</v>
      </c>
      <c r="EN47" s="18" t="str">
        <f>(IF($AJ47="選手権",参照データ!$J$13,""))</f>
        <v/>
      </c>
      <c r="EO47" s="18">
        <f>(COUNTIF($AQ47:$AR47,"&lt;&gt;"))*参照データ!$H$3</f>
        <v>0</v>
      </c>
      <c r="EP47" s="18"/>
      <c r="EQ47" s="98">
        <f t="array" ref="EQ47">SUM(IF(ISERROR(EE47:EN47),0,(EE47:EN47)))</f>
        <v>0</v>
      </c>
      <c r="ER47" s="18"/>
      <c r="ES47" s="18">
        <f t="shared" si="10"/>
        <v>0</v>
      </c>
      <c r="ET47" s="18">
        <f t="shared" si="36"/>
        <v>0</v>
      </c>
      <c r="EU47" s="18">
        <f t="shared" si="27"/>
        <v>0</v>
      </c>
      <c r="EV47" s="18">
        <f t="shared" si="28"/>
        <v>0</v>
      </c>
      <c r="EW47" s="18">
        <f t="shared" si="29"/>
        <v>0</v>
      </c>
      <c r="EX47" s="18">
        <f t="shared" si="30"/>
        <v>0</v>
      </c>
      <c r="EY47" t="str">
        <f t="shared" si="31"/>
        <v/>
      </c>
    </row>
    <row r="48" spans="1:155" ht="18.75" customHeight="1" x14ac:dyDescent="0.2">
      <c r="A48">
        <v>37</v>
      </c>
      <c r="B48" s="14" t="str">
        <f>IF(D48="","",IF(D48="重複","",COUNTIF(B$12:$B47,"&gt;0")+1))</f>
        <v/>
      </c>
      <c r="C48" s="464"/>
      <c r="D48" s="177"/>
      <c r="E48" s="177"/>
      <c r="F48" s="31"/>
      <c r="G48" s="41"/>
      <c r="H48" s="351">
        <f t="shared" si="32"/>
        <v>0</v>
      </c>
      <c r="I48" s="193" t="str">
        <f>IF($AW48=0,"",DATEDIF($AW48,参照データ!$D$16,"Y"))</f>
        <v/>
      </c>
      <c r="J48" s="517"/>
      <c r="K48" s="517"/>
      <c r="L48" s="517"/>
      <c r="M48" s="517"/>
      <c r="N48" s="517"/>
      <c r="O48" s="518"/>
      <c r="P48" s="345"/>
      <c r="Q48" s="345"/>
      <c r="R48" s="519"/>
      <c r="S48" s="244"/>
      <c r="T48" s="244"/>
      <c r="U48" s="244"/>
      <c r="V48" s="245"/>
      <c r="W48" s="248"/>
      <c r="X48" s="250"/>
      <c r="Y48" s="345"/>
      <c r="Z48" s="388"/>
      <c r="AA48" s="346" t="str">
        <f>IF($Z48="○",VLOOKUP($CB48,参照データ!$D$65:$M$82,9,0),IF($Z48="選手権",VLOOKUP($DE48,参照データ!$D$88:$O$117,10,0),""))</f>
        <v/>
      </c>
      <c r="AB48" s="388"/>
      <c r="AC48" s="346" t="str">
        <f>IF($AB48="○",VLOOKUP($CB48,参照データ!$D$65:$M$82,10,0),IF($AB48="選手権",VLOOKUP($DE48,参照データ!$D$88:$O$117,11,0),""))</f>
        <v/>
      </c>
      <c r="AD48" s="388"/>
      <c r="AE48" s="346" t="str">
        <f>IF($AD48="○",VLOOKUP($CB48,参照データ!$D$65:$M$82,10,0),IF($AD48="選手権",VLOOKUP($DE48,参照データ!$D$88:$O$117,11,0),""))</f>
        <v/>
      </c>
      <c r="AF48" s="388"/>
      <c r="AG48" s="346" t="str">
        <f>IF($AF48="○",VLOOKUP($CB48,参照データ!$D$65:$M$82,10,0),IF($AF48="選手権",VLOOKUP($DL48,参照データ!$D$88:$O$117,12,0),""))</f>
        <v/>
      </c>
      <c r="AH48" s="388"/>
      <c r="AI48" s="346" t="str">
        <f>IF($AH48="○",VLOOKUP($CB48,参照データ!$D$65:$M$82,10,0),IF($AH48="選手権",VLOOKUP($DL48,参照データ!$D$88:$O$117,12,0),""))</f>
        <v/>
      </c>
      <c r="AJ48" s="388"/>
      <c r="AK48" s="511"/>
      <c r="AL48" s="346" t="str">
        <f t="shared" si="3"/>
        <v/>
      </c>
      <c r="AM48" s="392"/>
      <c r="AN48" s="391"/>
      <c r="AO48" s="391"/>
      <c r="AP48" s="447"/>
      <c r="AQ48" s="321"/>
      <c r="AR48" s="481"/>
      <c r="AS48" s="393"/>
      <c r="AT48" s="483"/>
      <c r="AW48">
        <f t="shared" si="45"/>
        <v>0</v>
      </c>
      <c r="AX48" t="str">
        <f t="shared" si="33"/>
        <v/>
      </c>
      <c r="AY48" s="132"/>
      <c r="BA48" s="513" t="str">
        <f>IF(団体情報・入力の仕方!$C$3&lt;&gt;"大田区大会","",IF(AW48=0,"",IF(I48&gt;=18,"○","")))</f>
        <v/>
      </c>
      <c r="BB48" s="53" t="str">
        <f>IF($AW48=0,"",IF(AND($I48&gt;=6,$I48&lt;=19),VLOOKUP($I48,参照データ!$B$24:$C$37,2,0),IF($I48&lt;6,6,19)))</f>
        <v/>
      </c>
      <c r="BC48" s="155" t="str">
        <f>IF($J48="○",VLOOKUP($BB48,参照データ!$C$24:$I$37,2,0),"")</f>
        <v/>
      </c>
      <c r="BD48" s="146" t="str">
        <f>IF($K48="○",VLOOKUP($BB48,参照データ!$C$24:$I$37,3,0),"")</f>
        <v/>
      </c>
      <c r="BE48" s="146" t="str">
        <f>IF($L48="○",VLOOKUP($BB48,参照データ!$C$24:$I$37,4,0),"")</f>
        <v/>
      </c>
      <c r="BF48" s="146" t="str">
        <f>IF($M48="○",VLOOKUP($BB48,参照データ!$C$24:$I$37,5,0),"")</f>
        <v/>
      </c>
      <c r="BG48" s="146" t="str">
        <f>IF($N48="20日",VLOOKUP($BB48,参照データ!$C$24:$I$37,6,0),"")</f>
        <v/>
      </c>
      <c r="BH48" s="156" t="str">
        <f>IF($O48="20日",VLOOKUP($BB48,参照データ!$C$24:$I$37,7,0),"")</f>
        <v/>
      </c>
      <c r="BI48" s="155" t="str">
        <f>IF($J48="21日",VLOOKUP($BB48,参照データ!$C$24:$I$37,2,0),"")</f>
        <v/>
      </c>
      <c r="BJ48" s="146" t="str">
        <f>IF($K48="21日",VLOOKUP($BB48,参照データ!$C$24:$I$37,3,0),"")</f>
        <v/>
      </c>
      <c r="BK48" s="146" t="str">
        <f>IF($L48="21日",VLOOKUP($BB48,参照データ!$C$24:$I$37,4,0),"")</f>
        <v/>
      </c>
      <c r="BL48" s="146" t="str">
        <f>IF($M48="21日",VLOOKUP($BB48,参照データ!$C$24:$I$37,5,0),"")</f>
        <v/>
      </c>
      <c r="BM48" s="146" t="str">
        <f>IF($N48="21日",VLOOKUP($BB48,参照データ!$C$24:$I$37,6,0),"")</f>
        <v/>
      </c>
      <c r="BN48" s="156" t="str">
        <f>IF($O48="21日",VLOOKUP($BB48,参照データ!$C$24:$I$37,7,0),"")</f>
        <v/>
      </c>
      <c r="BO48" s="223" t="str">
        <f t="shared" si="40"/>
        <v/>
      </c>
      <c r="BP48" s="154" t="str">
        <f>IF($R48="入門",VLOOKUP($BB48,参照データ!$C$43:$U$56,2,0),IF($R48="初級",VLOOKUP($BB48,参照データ!$C$43:$U$56,3,0),IF($R48="中級",VLOOKUP($BB48,参照データ!$C$43:$U$56,4,0),IF($R48="上級",VLOOKUP($BB48,参照データ!$C$43:$U$56,5,0),""))))</f>
        <v/>
      </c>
      <c r="BQ48" s="154" t="str">
        <f>IF($S48="初級",VLOOKUP($BB48,参照データ!$C$43:$U$56,6,0),IF($S48="中級",VLOOKUP($BB48,参照データ!$C$43:$U$56,7,0),IF($S48="上級",VLOOKUP($BB48,参照データ!$C$43:$U$56,8,0),"")))</f>
        <v/>
      </c>
      <c r="BR48" s="154" t="str">
        <f>IF($T48="初級",VLOOKUP($BB48,参照データ!$C$43:$U$56,9,0),IF($T48="上級",VLOOKUP($BB48,参照データ!$C$43:$U$56,10,0),""))</f>
        <v/>
      </c>
      <c r="BS48" s="154" t="str">
        <f>IF($U48="初級",VLOOKUP($BB48,参照データ!$C$43:$U$56,11,0),IF($U48="中級",VLOOKUP($BB48,参照データ!$C$43:$U$56,12,0),IF($U48="上級",VLOOKUP($BB48,参照データ!$C$43:$U$56,13,0),"")))</f>
        <v/>
      </c>
      <c r="BT48" s="154" t="str">
        <f>IF($V48="初級",VLOOKUP($BB48,参照データ!$C$43:$U$56,14,0),IF($V48="中級",VLOOKUP($BB48,参照データ!$C$43:$U$56,15,0),IF($V48="上級",VLOOKUP($BB48,参照データ!$C$43:$U$56,16,0),"")))</f>
        <v/>
      </c>
      <c r="BU48" s="47" t="str">
        <f t="shared" si="4"/>
        <v/>
      </c>
      <c r="BV48" s="47" t="str">
        <f>IF($W48="初級",VLOOKUP($BB48,参照データ!$C$43:$U$56,17,0),IF($W48="中級",VLOOKUP($BB48,参照データ!$C$43:$U$56,18,0),IF($W48="上級",VLOOKUP($BB48,参照データ!$C$43:$U$56,19,0),"")))</f>
        <v/>
      </c>
      <c r="BW48" s="686">
        <v>19</v>
      </c>
      <c r="BX48" s="66" t="s">
        <v>121</v>
      </c>
      <c r="BY48" s="136" t="str">
        <f t="shared" si="11"/>
        <v/>
      </c>
      <c r="BZ48" s="688" t="str">
        <f t="shared" ref="BZ48" si="90">IF(OR($BY48="",$BY49=""),"",IF($BY48&gt;$BY49,$BY48,$BY49))</f>
        <v/>
      </c>
      <c r="CB48" s="53" t="str">
        <f>IF(AND($AW48&gt;=参照データ!$C$67,$AW48&lt;=参照データ!$C$65),1,IF(AND($AW48&gt;=参照データ!$C$70,$AW48&lt;=参照データ!$C$68),2,IF(AND($AW48&gt;=参照データ!$C$73,$AW48&lt;=参照データ!$C$71),3,IF(AND($AW48&gt;=参照データ!$C$76,$AW48&lt;=参照データ!$C$74),4,IF(AND($AW48&gt;=参照データ!$C$79,$AW48&lt;=参照データ!$C$77),5,IF(AND($AW48&gt;0,$AW48&lt;=参照データ!$C$80),6,""))))))</f>
        <v/>
      </c>
      <c r="CC48" s="141" t="str">
        <f>IF($Z48="○",(VLOOKUP($CB48,参照データ!$D$65:$J$82,2,0)),"")</f>
        <v/>
      </c>
      <c r="CD48" s="71" t="str">
        <f t="shared" si="12"/>
        <v/>
      </c>
      <c r="CE48" s="70" t="str">
        <f>IF($AB48="○",(VLOOKUP($CB48,参照データ!$D$65:$J$82,3,0)),"")</f>
        <v/>
      </c>
      <c r="CF48" s="71" t="str">
        <f t="shared" si="13"/>
        <v/>
      </c>
      <c r="CG48" s="70" t="str">
        <f>IF($AD48="○",(VLOOKUP($CB48,参照データ!$D$65:$J$82,4,0)),"")</f>
        <v/>
      </c>
      <c r="CH48" s="71" t="str">
        <f t="shared" si="14"/>
        <v/>
      </c>
      <c r="CI48" s="70" t="str">
        <f>IF($AF48="○",(VLOOKUP($CB48,参照データ!$D$65:$J$82,5,0)),"")</f>
        <v/>
      </c>
      <c r="CJ48" s="71" t="str">
        <f t="shared" si="5"/>
        <v/>
      </c>
      <c r="CK48" s="70" t="str">
        <f>IF($AH48="○",(VLOOKUP($CB48,参照データ!$D$65:$J$82,6,0)),"")</f>
        <v/>
      </c>
      <c r="CL48" s="71" t="str">
        <f t="shared" si="15"/>
        <v/>
      </c>
      <c r="CM48" s="33" t="str">
        <f t="shared" si="16"/>
        <v/>
      </c>
      <c r="CN48" s="32" t="str">
        <f t="shared" si="17"/>
        <v/>
      </c>
      <c r="CO48" s="71" t="str">
        <f t="shared" si="18"/>
        <v/>
      </c>
      <c r="CP48" s="681">
        <v>19</v>
      </c>
      <c r="CQ48" s="79" t="s">
        <v>121</v>
      </c>
      <c r="CR48" s="80" t="str">
        <f t="shared" si="19"/>
        <v/>
      </c>
      <c r="CS48" s="683" t="e">
        <f>IF($CR48&gt;$CR49,VLOOKUP($CR48,参照データ!$D$65:$J$82,7,0),VLOOKUP($CR49,参照データ!$D$65:$J$82,7,0))</f>
        <v>#N/A</v>
      </c>
      <c r="CT48" s="308" t="str">
        <f>IFERROR(VLOOKUP($CS48,参照データ!$J$65:$M$82,4,0),"")</f>
        <v/>
      </c>
      <c r="CU48" s="70"/>
      <c r="CV48" s="172" t="str">
        <f t="shared" si="20"/>
        <v/>
      </c>
      <c r="CX48" s="32"/>
      <c r="CY48" s="161" t="str">
        <f t="shared" si="21"/>
        <v/>
      </c>
      <c r="CZ48" s="743">
        <v>19</v>
      </c>
      <c r="DA48" s="166" t="s">
        <v>121</v>
      </c>
      <c r="DB48" s="167" t="str">
        <f t="shared" si="42"/>
        <v/>
      </c>
      <c r="DC48" s="741" t="str">
        <f>IF(OR(DB48="",DB49=""),"",IF(DB48&gt;DB49,DB48,DB49))</f>
        <v/>
      </c>
      <c r="DD48" t="str">
        <f>IF($DE48="","",DATEDIF($AW48,参照データ!$D$19,"Y"))</f>
        <v/>
      </c>
      <c r="DE48" s="253" t="str">
        <f>IFERROR(IF($AX48="男子",VLOOKUP($DL48,参照データ!$D$88:$E$117,2,0),$DL48),0)</f>
        <v/>
      </c>
      <c r="DF48" s="84" t="str">
        <f>IF($Z48="選手権",(VLOOKUP($DE48,参照データ!$D$88:$K$117,3,0)),"")</f>
        <v/>
      </c>
      <c r="DG48" s="85" t="str">
        <f t="shared" si="6"/>
        <v/>
      </c>
      <c r="DH48" s="84" t="str">
        <f>IF($AB48="選手権",(VLOOKUP($DE48,参照データ!$D$88:$K$117,4,0)),"")</f>
        <v/>
      </c>
      <c r="DI48" s="85" t="str">
        <f t="shared" si="7"/>
        <v/>
      </c>
      <c r="DJ48" s="84" t="str">
        <f>IF($AD48="選手権",(VLOOKUP($DE48,参照データ!$D$88:$K$117,5,0)),"")</f>
        <v/>
      </c>
      <c r="DK48" s="85" t="str">
        <f t="shared" si="8"/>
        <v/>
      </c>
      <c r="DL48" s="53" t="str">
        <f>IF(AND($AW48&gt;=参照データ!$C$90,$AW48&lt;=参照データ!$C$88),1,IF(AND($AW48&gt;=参照データ!$C$93,$AW48&lt;=参照データ!$C$91),2,IF(AND($AW48&gt;=参照データ!$C$99,$AW48&lt;=参照データ!$C$97),3,IF(AND($AW48&gt;=参照データ!$C$105,$AW48&lt;=参照データ!$C$103),4,IF(AND($AW48&gt;=参照データ!$C$111,$AW48&lt;=参照データ!$C$109),5,IF(AND($AW48&gt;0,$AW48&lt;=参照データ!$C$112),6,""))))))</f>
        <v/>
      </c>
      <c r="DM48" s="84" t="str">
        <f>IF($AF48="選手権",(VLOOKUP($DL48,参照データ!$D$88:$K$117,6,0)),"")</f>
        <v/>
      </c>
      <c r="DN48" s="85" t="str">
        <f t="shared" si="9"/>
        <v/>
      </c>
      <c r="DO48" s="84" t="str">
        <f>IF($AH48="選手権",(VLOOKUP($DL48,参照データ!$D$88:$K$117,7,0)),"")</f>
        <v/>
      </c>
      <c r="DP48" s="85" t="str">
        <f t="shared" si="22"/>
        <v/>
      </c>
      <c r="DQ48" s="33" t="str">
        <f t="shared" si="23"/>
        <v/>
      </c>
      <c r="DR48" s="32" t="str">
        <f t="shared" si="24"/>
        <v/>
      </c>
      <c r="DS48" s="85" t="str">
        <f t="shared" si="25"/>
        <v/>
      </c>
      <c r="DT48" s="736">
        <v>19</v>
      </c>
      <c r="DU48" s="93" t="s">
        <v>121</v>
      </c>
      <c r="DV48" s="94" t="str">
        <f t="shared" si="35"/>
        <v/>
      </c>
      <c r="DW48" s="737" t="e">
        <f>IF($DV48&gt;$DV49,VLOOKUP($DV48,参照データ!$D$88:$K$117,8,0),VLOOKUP($DV49,参照データ!$D$88:$K$117,8,0))</f>
        <v>#N/A</v>
      </c>
      <c r="DX48" s="312" t="str">
        <f t="shared" ref="DX48" si="91">$DX47</f>
        <v/>
      </c>
      <c r="DZ48" s="491" t="str">
        <f t="shared" si="26"/>
        <v/>
      </c>
      <c r="EE48" s="35">
        <f>(COUNTIF($J48:$O48,"&lt;&gt;"))*参照データ!$E$3</f>
        <v>0</v>
      </c>
      <c r="EF48" s="219" t="str">
        <f>IF($Y48="○",参照データ!$E$4,"")</f>
        <v/>
      </c>
      <c r="EG48" s="18">
        <f>(SUM(COUNTIF($R48:$V48,{"入門","初級"}))*参照データ!$E$9)+(SUM(COUNTIF($R48:$V48,{"中級","上級"})*参照データ!$E$10))</f>
        <v>0</v>
      </c>
      <c r="EH48" s="18">
        <f>IFERROR(VLOOKUP($W48,参照データ!$D$9:$J$11,7,0),0)</f>
        <v>0</v>
      </c>
      <c r="EI48" s="18">
        <f>((COUNTIF($Z48:$AH48,"○"))*参照データ!$E$12)</f>
        <v>0</v>
      </c>
      <c r="EJ48" s="18" t="str">
        <f>(IF($AJ48="○",参照データ!$J$12,""))</f>
        <v/>
      </c>
      <c r="EM48" s="18">
        <f>((COUNTIF($Z48:$AH48,"選手権"))*参照データ!$E$13)</f>
        <v>0</v>
      </c>
      <c r="EN48" s="18" t="str">
        <f>(IF($AJ48="選手権",参照データ!$J$13,""))</f>
        <v/>
      </c>
      <c r="EO48" s="18">
        <f>(COUNTIF($AQ48:$AR48,"&lt;&gt;"))*参照データ!$H$3</f>
        <v>0</v>
      </c>
      <c r="EP48" s="18"/>
      <c r="EQ48" s="98">
        <f t="array" ref="EQ48">SUM(IF(ISERROR(EE48:EN48),0,(EE48:EN48)))</f>
        <v>0</v>
      </c>
      <c r="ER48" s="18"/>
      <c r="ES48" s="18">
        <f t="shared" si="10"/>
        <v>0</v>
      </c>
      <c r="ET48" s="18">
        <f t="shared" si="36"/>
        <v>0</v>
      </c>
      <c r="EU48" s="18">
        <f t="shared" si="27"/>
        <v>0</v>
      </c>
      <c r="EV48" s="18">
        <f t="shared" si="28"/>
        <v>0</v>
      </c>
      <c r="EW48" s="18">
        <f t="shared" si="29"/>
        <v>0</v>
      </c>
      <c r="EX48" s="18">
        <f t="shared" si="30"/>
        <v>0</v>
      </c>
      <c r="EY48" t="str">
        <f t="shared" si="31"/>
        <v/>
      </c>
    </row>
    <row r="49" spans="1:155" ht="18.75" customHeight="1" x14ac:dyDescent="0.2">
      <c r="A49">
        <v>38</v>
      </c>
      <c r="B49" s="14" t="str">
        <f>IF(D49="","",IF(D49="重複","",COUNTIF(B$12:$B48,"&gt;0")+1))</f>
        <v/>
      </c>
      <c r="C49" s="464"/>
      <c r="D49" s="177"/>
      <c r="E49" s="177"/>
      <c r="F49" s="31"/>
      <c r="G49" s="41"/>
      <c r="H49" s="351">
        <f t="shared" si="32"/>
        <v>0</v>
      </c>
      <c r="I49" s="193" t="str">
        <f>IF($AW49=0,"",DATEDIF($AW49,参照データ!$D$16,"Y"))</f>
        <v/>
      </c>
      <c r="J49" s="517"/>
      <c r="K49" s="517"/>
      <c r="L49" s="517"/>
      <c r="M49" s="517"/>
      <c r="N49" s="517"/>
      <c r="O49" s="518"/>
      <c r="P49" s="345"/>
      <c r="Q49" s="345"/>
      <c r="R49" s="519"/>
      <c r="S49" s="244"/>
      <c r="T49" s="244"/>
      <c r="U49" s="244"/>
      <c r="V49" s="245"/>
      <c r="W49" s="248"/>
      <c r="X49" s="250"/>
      <c r="Y49" s="345"/>
      <c r="Z49" s="388"/>
      <c r="AA49" s="346" t="str">
        <f>IF($Z49="○",VLOOKUP($CB49,参照データ!$D$65:$M$82,9,0),IF($Z49="選手権",VLOOKUP($DE49,参照データ!$D$88:$O$117,10,0),""))</f>
        <v/>
      </c>
      <c r="AB49" s="388"/>
      <c r="AC49" s="346" t="str">
        <f>IF($AB49="○",VLOOKUP($CB49,参照データ!$D$65:$M$82,10,0),IF($AB49="選手権",VLOOKUP($DE49,参照データ!$D$88:$O$117,11,0),""))</f>
        <v/>
      </c>
      <c r="AD49" s="388"/>
      <c r="AE49" s="346" t="str">
        <f>IF($AD49="○",VLOOKUP($CB49,参照データ!$D$65:$M$82,10,0),IF($AD49="選手権",VLOOKUP($DE49,参照データ!$D$88:$O$117,11,0),""))</f>
        <v/>
      </c>
      <c r="AF49" s="388"/>
      <c r="AG49" s="346" t="str">
        <f>IF($AF49="○",VLOOKUP($CB49,参照データ!$D$65:$M$82,10,0),IF($AF49="選手権",VLOOKUP($DL49,参照データ!$D$88:$O$117,12,0),""))</f>
        <v/>
      </c>
      <c r="AH49" s="388"/>
      <c r="AI49" s="346" t="str">
        <f>IF($AH49="○",VLOOKUP($CB49,参照データ!$D$65:$M$82,10,0),IF($AH49="選手権",VLOOKUP($DL49,参照データ!$D$88:$O$117,12,0),""))</f>
        <v/>
      </c>
      <c r="AJ49" s="388"/>
      <c r="AK49" s="511"/>
      <c r="AL49" s="346" t="str">
        <f t="shared" si="3"/>
        <v/>
      </c>
      <c r="AM49" s="392"/>
      <c r="AN49" s="391"/>
      <c r="AO49" s="391"/>
      <c r="AP49" s="447"/>
      <c r="AQ49" s="321"/>
      <c r="AR49" s="481"/>
      <c r="AS49" s="393"/>
      <c r="AT49" s="483"/>
      <c r="AW49">
        <f t="shared" si="45"/>
        <v>0</v>
      </c>
      <c r="AX49" t="str">
        <f t="shared" si="33"/>
        <v/>
      </c>
      <c r="AY49" s="132"/>
      <c r="BA49" s="513" t="str">
        <f>IF(団体情報・入力の仕方!$C$3&lt;&gt;"大田区大会","",IF(AW49=0,"",IF(I49&gt;=18,"○","")))</f>
        <v/>
      </c>
      <c r="BB49" s="53" t="str">
        <f>IF($AW49=0,"",IF(AND($I49&gt;=6,$I49&lt;=19),VLOOKUP($I49,参照データ!$B$24:$C$37,2,0),IF($I49&lt;6,6,19)))</f>
        <v/>
      </c>
      <c r="BC49" s="155" t="str">
        <f>IF($J49="○",VLOOKUP($BB49,参照データ!$C$24:$I$37,2,0),"")</f>
        <v/>
      </c>
      <c r="BD49" s="146" t="str">
        <f>IF($K49="○",VLOOKUP($BB49,参照データ!$C$24:$I$37,3,0),"")</f>
        <v/>
      </c>
      <c r="BE49" s="146" t="str">
        <f>IF($L49="○",VLOOKUP($BB49,参照データ!$C$24:$I$37,4,0),"")</f>
        <v/>
      </c>
      <c r="BF49" s="146" t="str">
        <f>IF($M49="○",VLOOKUP($BB49,参照データ!$C$24:$I$37,5,0),"")</f>
        <v/>
      </c>
      <c r="BG49" s="146" t="str">
        <f>IF($N49="20日",VLOOKUP($BB49,参照データ!$C$24:$I$37,6,0),"")</f>
        <v/>
      </c>
      <c r="BH49" s="156" t="str">
        <f>IF($O49="20日",VLOOKUP($BB49,参照データ!$C$24:$I$37,7,0),"")</f>
        <v/>
      </c>
      <c r="BI49" s="155" t="str">
        <f>IF($J49="21日",VLOOKUP($BB49,参照データ!$C$24:$I$37,2,0),"")</f>
        <v/>
      </c>
      <c r="BJ49" s="146" t="str">
        <f>IF($K49="21日",VLOOKUP($BB49,参照データ!$C$24:$I$37,3,0),"")</f>
        <v/>
      </c>
      <c r="BK49" s="146" t="str">
        <f>IF($L49="21日",VLOOKUP($BB49,参照データ!$C$24:$I$37,4,0),"")</f>
        <v/>
      </c>
      <c r="BL49" s="146" t="str">
        <f>IF($M49="21日",VLOOKUP($BB49,参照データ!$C$24:$I$37,5,0),"")</f>
        <v/>
      </c>
      <c r="BM49" s="146" t="str">
        <f>IF($N49="21日",VLOOKUP($BB49,参照データ!$C$24:$I$37,6,0),"")</f>
        <v/>
      </c>
      <c r="BN49" s="156" t="str">
        <f>IF($O49="21日",VLOOKUP($BB49,参照データ!$C$24:$I$37,7,0),"")</f>
        <v/>
      </c>
      <c r="BO49" s="223" t="str">
        <f t="shared" si="40"/>
        <v/>
      </c>
      <c r="BP49" s="154" t="str">
        <f>IF($R49="入門",VLOOKUP($BB49,参照データ!$C$43:$U$56,2,0),IF($R49="初級",VLOOKUP($BB49,参照データ!$C$43:$U$56,3,0),IF($R49="中級",VLOOKUP($BB49,参照データ!$C$43:$U$56,4,0),IF($R49="上級",VLOOKUP($BB49,参照データ!$C$43:$U$56,5,0),""))))</f>
        <v/>
      </c>
      <c r="BQ49" s="154" t="str">
        <f>IF($S49="初級",VLOOKUP($BB49,参照データ!$C$43:$U$56,6,0),IF($S49="中級",VLOOKUP($BB49,参照データ!$C$43:$U$56,7,0),IF($S49="上級",VLOOKUP($BB49,参照データ!$C$43:$U$56,8,0),"")))</f>
        <v/>
      </c>
      <c r="BR49" s="154" t="str">
        <f>IF($T49="初級",VLOOKUP($BB49,参照データ!$C$43:$U$56,9,0),IF($T49="上級",VLOOKUP($BB49,参照データ!$C$43:$U$56,10,0),""))</f>
        <v/>
      </c>
      <c r="BS49" s="154" t="str">
        <f>IF($U49="初級",VLOOKUP($BB49,参照データ!$C$43:$U$56,11,0),IF($U49="中級",VLOOKUP($BB49,参照データ!$C$43:$U$56,12,0),IF($U49="上級",VLOOKUP($BB49,参照データ!$C$43:$U$56,13,0),"")))</f>
        <v/>
      </c>
      <c r="BT49" s="154" t="str">
        <f>IF($V49="初級",VLOOKUP($BB49,参照データ!$C$43:$U$56,14,0),IF($V49="中級",VLOOKUP($BB49,参照データ!$C$43:$U$56,15,0),IF($V49="上級",VLOOKUP($BB49,参照データ!$C$43:$U$56,16,0),"")))</f>
        <v/>
      </c>
      <c r="BU49" s="47" t="str">
        <f t="shared" si="4"/>
        <v/>
      </c>
      <c r="BV49" s="47" t="str">
        <f>IF($W49="初級",VLOOKUP($BB49,参照データ!$C$43:$U$56,17,0),IF($W49="中級",VLOOKUP($BB49,参照データ!$C$43:$U$56,18,0),IF($W49="上級",VLOOKUP($BB49,参照データ!$C$43:$U$56,19,0),"")))</f>
        <v/>
      </c>
      <c r="BW49" s="687"/>
      <c r="BX49" s="65" t="s">
        <v>122</v>
      </c>
      <c r="BY49" s="135" t="str">
        <f t="shared" si="11"/>
        <v/>
      </c>
      <c r="BZ49" s="689"/>
      <c r="CB49" s="53" t="str">
        <f>IF(AND($AW49&gt;=参照データ!$C$67,$AW49&lt;=参照データ!$C$65),1,IF(AND($AW49&gt;=参照データ!$C$70,$AW49&lt;=参照データ!$C$68),2,IF(AND($AW49&gt;=参照データ!$C$73,$AW49&lt;=参照データ!$C$71),3,IF(AND($AW49&gt;=参照データ!$C$76,$AW49&lt;=参照データ!$C$74),4,IF(AND($AW49&gt;=参照データ!$C$79,$AW49&lt;=参照データ!$C$77),5,IF(AND($AW49&gt;0,$AW49&lt;=参照データ!$C$80),6,""))))))</f>
        <v/>
      </c>
      <c r="CC49" s="141" t="str">
        <f>IF($Z49="○",(VLOOKUP($CB49,参照データ!$D$65:$J$82,2,0)),"")</f>
        <v/>
      </c>
      <c r="CD49" s="71" t="str">
        <f t="shared" si="12"/>
        <v/>
      </c>
      <c r="CE49" s="70" t="str">
        <f>IF($AB49="○",(VLOOKUP($CB49,参照データ!$D$65:$J$82,3,0)),"")</f>
        <v/>
      </c>
      <c r="CF49" s="71" t="str">
        <f t="shared" si="13"/>
        <v/>
      </c>
      <c r="CG49" s="70" t="str">
        <f>IF($AD49="○",(VLOOKUP($CB49,参照データ!$D$65:$J$82,4,0)),"")</f>
        <v/>
      </c>
      <c r="CH49" s="71" t="str">
        <f t="shared" si="14"/>
        <v/>
      </c>
      <c r="CI49" s="70" t="str">
        <f>IF($AF49="○",(VLOOKUP($CB49,参照データ!$D$65:$J$82,5,0)),"")</f>
        <v/>
      </c>
      <c r="CJ49" s="71" t="str">
        <f t="shared" si="5"/>
        <v/>
      </c>
      <c r="CK49" s="70" t="str">
        <f>IF($AH49="○",(VLOOKUP($CB49,参照データ!$D$65:$J$82,6,0)),"")</f>
        <v/>
      </c>
      <c r="CL49" s="71" t="str">
        <f t="shared" si="15"/>
        <v/>
      </c>
      <c r="CM49" s="33" t="str">
        <f t="shared" si="16"/>
        <v/>
      </c>
      <c r="CN49" s="32" t="str">
        <f t="shared" si="17"/>
        <v/>
      </c>
      <c r="CO49" s="71" t="str">
        <f t="shared" si="18"/>
        <v/>
      </c>
      <c r="CP49" s="682"/>
      <c r="CQ49" s="77" t="s">
        <v>122</v>
      </c>
      <c r="CR49" s="78" t="str">
        <f t="shared" si="19"/>
        <v/>
      </c>
      <c r="CS49" s="684"/>
      <c r="CT49" s="308" t="str">
        <f t="shared" ref="CT49" si="92">$CT48</f>
        <v/>
      </c>
      <c r="CU49" s="70"/>
      <c r="CV49" s="172" t="str">
        <f t="shared" si="20"/>
        <v/>
      </c>
      <c r="CX49" s="32"/>
      <c r="CY49" s="161" t="str">
        <f t="shared" si="21"/>
        <v/>
      </c>
      <c r="CZ49" s="744"/>
      <c r="DA49" s="164" t="s">
        <v>122</v>
      </c>
      <c r="DB49" s="165" t="str">
        <f t="shared" si="42"/>
        <v/>
      </c>
      <c r="DC49" s="742"/>
      <c r="DD49" t="str">
        <f>IF($DE49="","",DATEDIF($AW49,参照データ!$D$19,"Y"))</f>
        <v/>
      </c>
      <c r="DE49" s="253" t="str">
        <f>IFERROR(IF($AX49="男子",VLOOKUP($DL49,参照データ!$D$88:$E$117,2,0),$DL49),0)</f>
        <v/>
      </c>
      <c r="DF49" s="84" t="str">
        <f>IF($Z49="選手権",(VLOOKUP($DE49,参照データ!$D$88:$K$117,3,0)),"")</f>
        <v/>
      </c>
      <c r="DG49" s="85" t="str">
        <f t="shared" si="6"/>
        <v/>
      </c>
      <c r="DH49" s="84" t="str">
        <f>IF($AB49="選手権",(VLOOKUP($DE49,参照データ!$D$88:$K$117,4,0)),"")</f>
        <v/>
      </c>
      <c r="DI49" s="85" t="str">
        <f t="shared" si="7"/>
        <v/>
      </c>
      <c r="DJ49" s="84" t="str">
        <f>IF($AD49="選手権",(VLOOKUP($DE49,参照データ!$D$88:$K$117,5,0)),"")</f>
        <v/>
      </c>
      <c r="DK49" s="85" t="str">
        <f t="shared" si="8"/>
        <v/>
      </c>
      <c r="DL49" s="53" t="str">
        <f>IF(AND($AW49&gt;=参照データ!$C$90,$AW49&lt;=参照データ!$C$88),1,IF(AND($AW49&gt;=参照データ!$C$93,$AW49&lt;=参照データ!$C$91),2,IF(AND($AW49&gt;=参照データ!$C$99,$AW49&lt;=参照データ!$C$97),3,IF(AND($AW49&gt;=参照データ!$C$105,$AW49&lt;=参照データ!$C$103),4,IF(AND($AW49&gt;=参照データ!$C$111,$AW49&lt;=参照データ!$C$109),5,IF(AND($AW49&gt;0,$AW49&lt;=参照データ!$C$112),6,""))))))</f>
        <v/>
      </c>
      <c r="DM49" s="84" t="str">
        <f>IF($AF49="選手権",(VLOOKUP($DL49,参照データ!$D$88:$K$117,6,0)),"")</f>
        <v/>
      </c>
      <c r="DN49" s="85" t="str">
        <f t="shared" si="9"/>
        <v/>
      </c>
      <c r="DO49" s="84" t="str">
        <f>IF($AH49="選手権",(VLOOKUP($DL49,参照データ!$D$88:$K$117,7,0)),"")</f>
        <v/>
      </c>
      <c r="DP49" s="85" t="str">
        <f t="shared" si="22"/>
        <v/>
      </c>
      <c r="DQ49" s="33" t="str">
        <f t="shared" si="23"/>
        <v/>
      </c>
      <c r="DR49" s="32" t="str">
        <f t="shared" si="24"/>
        <v/>
      </c>
      <c r="DS49" s="85" t="str">
        <f t="shared" si="25"/>
        <v/>
      </c>
      <c r="DT49" s="733"/>
      <c r="DU49" s="91" t="s">
        <v>122</v>
      </c>
      <c r="DV49" s="92" t="str">
        <f t="shared" si="35"/>
        <v/>
      </c>
      <c r="DW49" s="735"/>
      <c r="DX49" s="312" t="str">
        <f>IFERROR(VLOOKUP($DW49,参照データ!$K$88:$O$117,5,0),"")</f>
        <v/>
      </c>
      <c r="DZ49" s="491" t="str">
        <f t="shared" si="26"/>
        <v/>
      </c>
      <c r="EE49" s="35">
        <f>(COUNTIF($J49:$O49,"&lt;&gt;"))*参照データ!$E$3</f>
        <v>0</v>
      </c>
      <c r="EF49" s="219" t="str">
        <f>IF($Y49="○",参照データ!$E$4,"")</f>
        <v/>
      </c>
      <c r="EG49" s="18">
        <f>(SUM(COUNTIF($R49:$V49,{"入門","初級"}))*参照データ!$E$9)+(SUM(COUNTIF($R49:$V49,{"中級","上級"})*参照データ!$E$10))</f>
        <v>0</v>
      </c>
      <c r="EH49" s="18">
        <f>IFERROR(VLOOKUP($W49,参照データ!$D$9:$J$11,7,0),0)</f>
        <v>0</v>
      </c>
      <c r="EI49" s="18">
        <f>((COUNTIF($Z49:$AH49,"○"))*参照データ!$E$12)</f>
        <v>0</v>
      </c>
      <c r="EJ49" s="18" t="str">
        <f>(IF($AJ49="○",参照データ!$J$12,""))</f>
        <v/>
      </c>
      <c r="EM49" s="18">
        <f>((COUNTIF($Z49:$AH49,"選手権"))*参照データ!$E$13)</f>
        <v>0</v>
      </c>
      <c r="EN49" s="18" t="str">
        <f>(IF($AJ49="選手権",参照データ!$J$13,""))</f>
        <v/>
      </c>
      <c r="EO49" s="18">
        <f>(COUNTIF($AQ49:$AR49,"&lt;&gt;"))*参照データ!$H$3</f>
        <v>0</v>
      </c>
      <c r="EP49" s="18"/>
      <c r="EQ49" s="98">
        <f t="array" ref="EQ49">SUM(IF(ISERROR(EE49:EN49),0,(EE49:EN49)))</f>
        <v>0</v>
      </c>
      <c r="ER49" s="18"/>
      <c r="ES49" s="18">
        <f t="shared" si="10"/>
        <v>0</v>
      </c>
      <c r="ET49" s="18">
        <f t="shared" si="36"/>
        <v>0</v>
      </c>
      <c r="EU49" s="18">
        <f t="shared" si="27"/>
        <v>0</v>
      </c>
      <c r="EV49" s="18">
        <f t="shared" si="28"/>
        <v>0</v>
      </c>
      <c r="EW49" s="18">
        <f t="shared" si="29"/>
        <v>0</v>
      </c>
      <c r="EX49" s="18">
        <f t="shared" si="30"/>
        <v>0</v>
      </c>
      <c r="EY49" t="str">
        <f t="shared" si="31"/>
        <v/>
      </c>
    </row>
    <row r="50" spans="1:155" ht="18.75" customHeight="1" x14ac:dyDescent="0.2">
      <c r="A50">
        <v>39</v>
      </c>
      <c r="B50" s="14" t="str">
        <f>IF(D50="","",IF(D50="重複","",COUNTIF(B$12:$B49,"&gt;0")+1))</f>
        <v/>
      </c>
      <c r="C50" s="464"/>
      <c r="D50" s="177"/>
      <c r="E50" s="177"/>
      <c r="F50" s="31"/>
      <c r="G50" s="41"/>
      <c r="H50" s="351">
        <f t="shared" si="32"/>
        <v>0</v>
      </c>
      <c r="I50" s="193" t="str">
        <f>IF($AW50=0,"",DATEDIF($AW50,参照データ!$D$16,"Y"))</f>
        <v/>
      </c>
      <c r="J50" s="517"/>
      <c r="K50" s="517"/>
      <c r="L50" s="517"/>
      <c r="M50" s="517"/>
      <c r="N50" s="517"/>
      <c r="O50" s="518"/>
      <c r="P50" s="345"/>
      <c r="Q50" s="345"/>
      <c r="R50" s="519"/>
      <c r="S50" s="244"/>
      <c r="T50" s="244"/>
      <c r="U50" s="244"/>
      <c r="V50" s="245"/>
      <c r="W50" s="248"/>
      <c r="X50" s="250"/>
      <c r="Y50" s="345"/>
      <c r="Z50" s="388"/>
      <c r="AA50" s="346" t="str">
        <f>IF($Z50="○",VLOOKUP($CB50,参照データ!$D$65:$M$82,9,0),IF($Z50="選手権",VLOOKUP($DE50,参照データ!$D$88:$O$117,10,0),""))</f>
        <v/>
      </c>
      <c r="AB50" s="388"/>
      <c r="AC50" s="346" t="str">
        <f>IF($AB50="○",VLOOKUP($CB50,参照データ!$D$65:$M$82,10,0),IF($AB50="選手権",VLOOKUP($DE50,参照データ!$D$88:$O$117,11,0),""))</f>
        <v/>
      </c>
      <c r="AD50" s="388"/>
      <c r="AE50" s="346" t="str">
        <f>IF($AD50="○",VLOOKUP($CB50,参照データ!$D$65:$M$82,10,0),IF($AD50="選手権",VLOOKUP($DE50,参照データ!$D$88:$O$117,11,0),""))</f>
        <v/>
      </c>
      <c r="AF50" s="388"/>
      <c r="AG50" s="346" t="str">
        <f>IF($AF50="○",VLOOKUP($CB50,参照データ!$D$65:$M$82,10,0),IF($AF50="選手権",VLOOKUP($DL50,参照データ!$D$88:$O$117,12,0),""))</f>
        <v/>
      </c>
      <c r="AH50" s="388"/>
      <c r="AI50" s="346" t="str">
        <f>IF($AH50="○",VLOOKUP($CB50,参照データ!$D$65:$M$82,10,0),IF($AH50="選手権",VLOOKUP($DL50,参照データ!$D$88:$O$117,12,0),""))</f>
        <v/>
      </c>
      <c r="AJ50" s="388"/>
      <c r="AK50" s="511"/>
      <c r="AL50" s="346" t="str">
        <f t="shared" si="3"/>
        <v/>
      </c>
      <c r="AM50" s="392"/>
      <c r="AN50" s="391"/>
      <c r="AO50" s="391"/>
      <c r="AP50" s="447"/>
      <c r="AQ50" s="321"/>
      <c r="AR50" s="481"/>
      <c r="AS50" s="393"/>
      <c r="AT50" s="483"/>
      <c r="AW50">
        <f t="shared" si="45"/>
        <v>0</v>
      </c>
      <c r="AX50" t="str">
        <f t="shared" si="33"/>
        <v/>
      </c>
      <c r="AY50" s="132"/>
      <c r="BA50" s="513" t="str">
        <f>IF(団体情報・入力の仕方!$C$3&lt;&gt;"大田区大会","",IF(AW50=0,"",IF(I50&gt;=18,"○","")))</f>
        <v/>
      </c>
      <c r="BB50" s="53" t="str">
        <f>IF($AW50=0,"",IF(AND($I50&gt;=6,$I50&lt;=19),VLOOKUP($I50,参照データ!$B$24:$C$37,2,0),IF($I50&lt;6,6,19)))</f>
        <v/>
      </c>
      <c r="BC50" s="155" t="str">
        <f>IF($J50="○",VLOOKUP($BB50,参照データ!$C$24:$I$37,2,0),"")</f>
        <v/>
      </c>
      <c r="BD50" s="146" t="str">
        <f>IF($K50="○",VLOOKUP($BB50,参照データ!$C$24:$I$37,3,0),"")</f>
        <v/>
      </c>
      <c r="BE50" s="146" t="str">
        <f>IF($L50="○",VLOOKUP($BB50,参照データ!$C$24:$I$37,4,0),"")</f>
        <v/>
      </c>
      <c r="BF50" s="146" t="str">
        <f>IF($M50="○",VLOOKUP($BB50,参照データ!$C$24:$I$37,5,0),"")</f>
        <v/>
      </c>
      <c r="BG50" s="146" t="str">
        <f>IF($N50="20日",VLOOKUP($BB50,参照データ!$C$24:$I$37,6,0),"")</f>
        <v/>
      </c>
      <c r="BH50" s="156" t="str">
        <f>IF($O50="20日",VLOOKUP($BB50,参照データ!$C$24:$I$37,7,0),"")</f>
        <v/>
      </c>
      <c r="BI50" s="155" t="str">
        <f>IF($J50="21日",VLOOKUP($BB50,参照データ!$C$24:$I$37,2,0),"")</f>
        <v/>
      </c>
      <c r="BJ50" s="146" t="str">
        <f>IF($K50="21日",VLOOKUP($BB50,参照データ!$C$24:$I$37,3,0),"")</f>
        <v/>
      </c>
      <c r="BK50" s="146" t="str">
        <f>IF($L50="21日",VLOOKUP($BB50,参照データ!$C$24:$I$37,4,0),"")</f>
        <v/>
      </c>
      <c r="BL50" s="146" t="str">
        <f>IF($M50="21日",VLOOKUP($BB50,参照データ!$C$24:$I$37,5,0),"")</f>
        <v/>
      </c>
      <c r="BM50" s="146" t="str">
        <f>IF($N50="21日",VLOOKUP($BB50,参照データ!$C$24:$I$37,6,0),"")</f>
        <v/>
      </c>
      <c r="BN50" s="156" t="str">
        <f>IF($O50="21日",VLOOKUP($BB50,参照データ!$C$24:$I$37,7,0),"")</f>
        <v/>
      </c>
      <c r="BO50" s="223" t="str">
        <f t="shared" si="40"/>
        <v/>
      </c>
      <c r="BP50" s="154" t="str">
        <f>IF($R50="入門",VLOOKUP($BB50,参照データ!$C$43:$U$56,2,0),IF($R50="初級",VLOOKUP($BB50,参照データ!$C$43:$U$56,3,0),IF($R50="中級",VLOOKUP($BB50,参照データ!$C$43:$U$56,4,0),IF($R50="上級",VLOOKUP($BB50,参照データ!$C$43:$U$56,5,0),""))))</f>
        <v/>
      </c>
      <c r="BQ50" s="154" t="str">
        <f>IF($S50="初級",VLOOKUP($BB50,参照データ!$C$43:$U$56,6,0),IF($S50="中級",VLOOKUP($BB50,参照データ!$C$43:$U$56,7,0),IF($S50="上級",VLOOKUP($BB50,参照データ!$C$43:$U$56,8,0),"")))</f>
        <v/>
      </c>
      <c r="BR50" s="154" t="str">
        <f>IF($T50="初級",VLOOKUP($BB50,参照データ!$C$43:$U$56,9,0),IF($T50="上級",VLOOKUP($BB50,参照データ!$C$43:$U$56,10,0),""))</f>
        <v/>
      </c>
      <c r="BS50" s="154" t="str">
        <f>IF($U50="初級",VLOOKUP($BB50,参照データ!$C$43:$U$56,11,0),IF($U50="中級",VLOOKUP($BB50,参照データ!$C$43:$U$56,12,0),IF($U50="上級",VLOOKUP($BB50,参照データ!$C$43:$U$56,13,0),"")))</f>
        <v/>
      </c>
      <c r="BT50" s="154" t="str">
        <f>IF($V50="初級",VLOOKUP($BB50,参照データ!$C$43:$U$56,14,0),IF($V50="中級",VLOOKUP($BB50,参照データ!$C$43:$U$56,15,0),IF($V50="上級",VLOOKUP($BB50,参照データ!$C$43:$U$56,16,0),"")))</f>
        <v/>
      </c>
      <c r="BU50" s="47" t="str">
        <f t="shared" si="4"/>
        <v/>
      </c>
      <c r="BV50" s="47" t="str">
        <f>IF($W50="初級",VLOOKUP($BB50,参照データ!$C$43:$U$56,17,0),IF($W50="中級",VLOOKUP($BB50,参照データ!$C$43:$U$56,18,0),IF($W50="上級",VLOOKUP($BB50,参照データ!$C$43:$U$56,19,0),"")))</f>
        <v/>
      </c>
      <c r="BW50" s="686">
        <v>20</v>
      </c>
      <c r="BX50" s="66" t="s">
        <v>123</v>
      </c>
      <c r="BY50" s="136" t="str">
        <f t="shared" si="11"/>
        <v/>
      </c>
      <c r="BZ50" s="688" t="str">
        <f t="shared" ref="BZ50" si="93">IF(OR($BY50="",$BY51=""),"",IF($BY50&gt;$BY51,$BY50,$BY51))</f>
        <v/>
      </c>
      <c r="CB50" s="53" t="str">
        <f>IF(AND($AW50&gt;=参照データ!$C$67,$AW50&lt;=参照データ!$C$65),1,IF(AND($AW50&gt;=参照データ!$C$70,$AW50&lt;=参照データ!$C$68),2,IF(AND($AW50&gt;=参照データ!$C$73,$AW50&lt;=参照データ!$C$71),3,IF(AND($AW50&gt;=参照データ!$C$76,$AW50&lt;=参照データ!$C$74),4,IF(AND($AW50&gt;=参照データ!$C$79,$AW50&lt;=参照データ!$C$77),5,IF(AND($AW50&gt;0,$AW50&lt;=参照データ!$C$80),6,""))))))</f>
        <v/>
      </c>
      <c r="CC50" s="141" t="str">
        <f>IF($Z50="○",(VLOOKUP($CB50,参照データ!$D$65:$J$82,2,0)),"")</f>
        <v/>
      </c>
      <c r="CD50" s="71" t="str">
        <f t="shared" si="12"/>
        <v/>
      </c>
      <c r="CE50" s="70" t="str">
        <f>IF($AB50="○",(VLOOKUP($CB50,参照データ!$D$65:$J$82,3,0)),"")</f>
        <v/>
      </c>
      <c r="CF50" s="71" t="str">
        <f t="shared" si="13"/>
        <v/>
      </c>
      <c r="CG50" s="70" t="str">
        <f>IF($AD50="○",(VLOOKUP($CB50,参照データ!$D$65:$J$82,4,0)),"")</f>
        <v/>
      </c>
      <c r="CH50" s="71" t="str">
        <f t="shared" si="14"/>
        <v/>
      </c>
      <c r="CI50" s="70" t="str">
        <f>IF($AF50="○",(VLOOKUP($CB50,参照データ!$D$65:$J$82,5,0)),"")</f>
        <v/>
      </c>
      <c r="CJ50" s="71" t="str">
        <f t="shared" si="5"/>
        <v/>
      </c>
      <c r="CK50" s="70" t="str">
        <f>IF($AH50="○",(VLOOKUP($CB50,参照データ!$D$65:$J$82,6,0)),"")</f>
        <v/>
      </c>
      <c r="CL50" s="71" t="str">
        <f t="shared" si="15"/>
        <v/>
      </c>
      <c r="CM50" s="33" t="str">
        <f t="shared" si="16"/>
        <v/>
      </c>
      <c r="CN50" s="32" t="str">
        <f t="shared" si="17"/>
        <v/>
      </c>
      <c r="CO50" s="71" t="str">
        <f t="shared" si="18"/>
        <v/>
      </c>
      <c r="CP50" s="681">
        <v>20</v>
      </c>
      <c r="CQ50" s="79" t="s">
        <v>123</v>
      </c>
      <c r="CR50" s="80" t="str">
        <f t="shared" si="19"/>
        <v/>
      </c>
      <c r="CS50" s="683" t="e">
        <f>IF($CR50&gt;$CR51,VLOOKUP($CR50,参照データ!$D$65:$J$82,7,0),VLOOKUP($CR51,参照データ!$D$65:$J$82,7,0))</f>
        <v>#N/A</v>
      </c>
      <c r="CT50" s="308" t="str">
        <f>IFERROR(VLOOKUP($CS50,参照データ!$J$65:$M$82,4,0),"")</f>
        <v/>
      </c>
      <c r="CU50" s="70"/>
      <c r="CV50" s="172" t="str">
        <f t="shared" si="20"/>
        <v/>
      </c>
      <c r="CX50" s="32"/>
      <c r="CY50" s="161" t="str">
        <f t="shared" si="21"/>
        <v/>
      </c>
      <c r="CZ50" s="743">
        <v>20</v>
      </c>
      <c r="DA50" s="166" t="s">
        <v>123</v>
      </c>
      <c r="DB50" s="167" t="str">
        <f t="shared" si="42"/>
        <v/>
      </c>
      <c r="DC50" s="741" t="str">
        <f>IF(OR(DB50="",DB51=""),"",IF(DB50&gt;DB51,DB50,DB51))</f>
        <v/>
      </c>
      <c r="DD50" t="str">
        <f>IF($DE50="","",DATEDIF($AW50,参照データ!$D$19,"Y"))</f>
        <v/>
      </c>
      <c r="DE50" s="253" t="str">
        <f>IFERROR(IF($AX50="男子",VLOOKUP($DL50,参照データ!$D$88:$E$117,2,0),$DL50),0)</f>
        <v/>
      </c>
      <c r="DF50" s="84" t="str">
        <f>IF($Z50="選手権",(VLOOKUP($DE50,参照データ!$D$88:$K$117,3,0)),"")</f>
        <v/>
      </c>
      <c r="DG50" s="85" t="str">
        <f t="shared" si="6"/>
        <v/>
      </c>
      <c r="DH50" s="84" t="str">
        <f>IF($AB50="選手権",(VLOOKUP($DE50,参照データ!$D$88:$K$117,4,0)),"")</f>
        <v/>
      </c>
      <c r="DI50" s="85" t="str">
        <f t="shared" si="7"/>
        <v/>
      </c>
      <c r="DJ50" s="84" t="str">
        <f>IF($AD50="選手権",(VLOOKUP($DE50,参照データ!$D$88:$K$117,5,0)),"")</f>
        <v/>
      </c>
      <c r="DK50" s="85" t="str">
        <f t="shared" si="8"/>
        <v/>
      </c>
      <c r="DL50" s="53" t="str">
        <f>IF(AND($AW50&gt;=参照データ!$C$90,$AW50&lt;=参照データ!$C$88),1,IF(AND($AW50&gt;=参照データ!$C$93,$AW50&lt;=参照データ!$C$91),2,IF(AND($AW50&gt;=参照データ!$C$99,$AW50&lt;=参照データ!$C$97),3,IF(AND($AW50&gt;=参照データ!$C$105,$AW50&lt;=参照データ!$C$103),4,IF(AND($AW50&gt;=参照データ!$C$111,$AW50&lt;=参照データ!$C$109),5,IF(AND($AW50&gt;0,$AW50&lt;=参照データ!$C$112),6,""))))))</f>
        <v/>
      </c>
      <c r="DM50" s="84" t="str">
        <f>IF($AF50="選手権",(VLOOKUP($DL50,参照データ!$D$88:$K$117,6,0)),"")</f>
        <v/>
      </c>
      <c r="DN50" s="85" t="str">
        <f t="shared" si="9"/>
        <v/>
      </c>
      <c r="DO50" s="84" t="str">
        <f>IF($AH50="選手権",(VLOOKUP($DL50,参照データ!$D$88:$K$117,7,0)),"")</f>
        <v/>
      </c>
      <c r="DP50" s="85" t="str">
        <f t="shared" si="22"/>
        <v/>
      </c>
      <c r="DQ50" s="33" t="str">
        <f t="shared" si="23"/>
        <v/>
      </c>
      <c r="DR50" s="32" t="str">
        <f t="shared" si="24"/>
        <v/>
      </c>
      <c r="DS50" s="85" t="str">
        <f t="shared" si="25"/>
        <v/>
      </c>
      <c r="DT50" s="736">
        <v>20</v>
      </c>
      <c r="DU50" s="93" t="s">
        <v>123</v>
      </c>
      <c r="DV50" s="94" t="str">
        <f t="shared" si="35"/>
        <v/>
      </c>
      <c r="DW50" s="737" t="e">
        <f>IF($DV50&gt;$DV51,VLOOKUP($DV50,参照データ!$D$88:$K$117,8,0),VLOOKUP($DV51,参照データ!$D$88:$K$117,8,0))</f>
        <v>#N/A</v>
      </c>
      <c r="DX50" s="312" t="str">
        <f>IFERROR(VLOOKUP($DW50,参照データ!$K$88:$O$117,5,0),"")</f>
        <v/>
      </c>
      <c r="DZ50" s="491" t="str">
        <f t="shared" si="26"/>
        <v/>
      </c>
      <c r="EE50" s="35">
        <f>(COUNTIF($J50:$O50,"&lt;&gt;"))*参照データ!$E$3</f>
        <v>0</v>
      </c>
      <c r="EF50" s="219" t="str">
        <f>IF($Y50="○",参照データ!$E$4,"")</f>
        <v/>
      </c>
      <c r="EG50" s="18">
        <f>(SUM(COUNTIF($R50:$V50,{"入門","初級"}))*参照データ!$E$9)+(SUM(COUNTIF($R50:$V50,{"中級","上級"})*参照データ!$E$10))</f>
        <v>0</v>
      </c>
      <c r="EH50" s="18">
        <f>IFERROR(VLOOKUP($W50,参照データ!$D$9:$J$11,7,0),0)</f>
        <v>0</v>
      </c>
      <c r="EI50" s="18">
        <f>((COUNTIF($Z50:$AH50,"○"))*参照データ!$E$12)</f>
        <v>0</v>
      </c>
      <c r="EJ50" s="18" t="str">
        <f>(IF($AJ50="○",参照データ!$J$12,""))</f>
        <v/>
      </c>
      <c r="EM50" s="18">
        <f>((COUNTIF($Z50:$AH50,"選手権"))*参照データ!$E$13)</f>
        <v>0</v>
      </c>
      <c r="EN50" s="18" t="str">
        <f>(IF($AJ50="選手権",参照データ!$J$13,""))</f>
        <v/>
      </c>
      <c r="EO50" s="18">
        <f>(COUNTIF($AQ50:$AR50,"&lt;&gt;"))*参照データ!$H$3</f>
        <v>0</v>
      </c>
      <c r="EP50" s="18"/>
      <c r="EQ50" s="98">
        <f t="array" ref="EQ50">SUM(IF(ISERROR(EE50:EN50),0,(EE50:EN50)))</f>
        <v>0</v>
      </c>
      <c r="ER50" s="18"/>
      <c r="ES50" s="18">
        <f t="shared" si="10"/>
        <v>0</v>
      </c>
      <c r="ET50" s="18">
        <f t="shared" si="36"/>
        <v>0</v>
      </c>
      <c r="EU50" s="18">
        <f t="shared" si="27"/>
        <v>0</v>
      </c>
      <c r="EV50" s="18">
        <f t="shared" si="28"/>
        <v>0</v>
      </c>
      <c r="EW50" s="18">
        <f t="shared" si="29"/>
        <v>0</v>
      </c>
      <c r="EX50" s="18">
        <f t="shared" si="30"/>
        <v>0</v>
      </c>
      <c r="EY50" t="str">
        <f t="shared" si="31"/>
        <v/>
      </c>
    </row>
    <row r="51" spans="1:155" ht="18.75" customHeight="1" x14ac:dyDescent="0.2">
      <c r="A51">
        <v>40</v>
      </c>
      <c r="B51" s="14" t="str">
        <f>IF(D51="","",IF(D51="重複","",COUNTIF(B$12:$B50,"&gt;0")+1))</f>
        <v/>
      </c>
      <c r="C51" s="464"/>
      <c r="D51" s="177"/>
      <c r="E51" s="177"/>
      <c r="F51" s="31"/>
      <c r="G51" s="41"/>
      <c r="H51" s="351">
        <f t="shared" si="32"/>
        <v>0</v>
      </c>
      <c r="I51" s="193" t="str">
        <f>IF($AW51=0,"",DATEDIF($AW51,参照データ!$D$16,"Y"))</f>
        <v/>
      </c>
      <c r="J51" s="517"/>
      <c r="K51" s="517"/>
      <c r="L51" s="517"/>
      <c r="M51" s="517"/>
      <c r="N51" s="517"/>
      <c r="O51" s="518"/>
      <c r="P51" s="345"/>
      <c r="Q51" s="345"/>
      <c r="R51" s="519"/>
      <c r="S51" s="244"/>
      <c r="T51" s="244"/>
      <c r="U51" s="244"/>
      <c r="V51" s="245"/>
      <c r="W51" s="248"/>
      <c r="X51" s="250"/>
      <c r="Y51" s="345"/>
      <c r="Z51" s="388"/>
      <c r="AA51" s="346" t="str">
        <f>IF($Z51="○",VLOOKUP($CB51,参照データ!$D$65:$M$82,9,0),IF($Z51="選手権",VLOOKUP($DE51,参照データ!$D$88:$O$117,10,0),""))</f>
        <v/>
      </c>
      <c r="AB51" s="388"/>
      <c r="AC51" s="346" t="str">
        <f>IF($AB51="○",VLOOKUP($CB51,参照データ!$D$65:$M$82,10,0),IF($AB51="選手権",VLOOKUP($DE51,参照データ!$D$88:$O$117,11,0),""))</f>
        <v/>
      </c>
      <c r="AD51" s="388"/>
      <c r="AE51" s="346" t="str">
        <f>IF($AD51="○",VLOOKUP($CB51,参照データ!$D$65:$M$82,10,0),IF($AD51="選手権",VLOOKUP($DE51,参照データ!$D$88:$O$117,11,0),""))</f>
        <v/>
      </c>
      <c r="AF51" s="388"/>
      <c r="AG51" s="346" t="str">
        <f>IF($AF51="○",VLOOKUP($CB51,参照データ!$D$65:$M$82,10,0),IF($AF51="選手権",VLOOKUP($DL51,参照データ!$D$88:$O$117,12,0),""))</f>
        <v/>
      </c>
      <c r="AH51" s="388"/>
      <c r="AI51" s="346" t="str">
        <f>IF($AH51="○",VLOOKUP($CB51,参照データ!$D$65:$M$82,10,0),IF($AH51="選手権",VLOOKUP($DL51,参照データ!$D$88:$O$117,12,0),""))</f>
        <v/>
      </c>
      <c r="AJ51" s="388"/>
      <c r="AK51" s="511"/>
      <c r="AL51" s="346" t="str">
        <f t="shared" si="3"/>
        <v/>
      </c>
      <c r="AM51" s="392"/>
      <c r="AN51" s="391"/>
      <c r="AO51" s="391"/>
      <c r="AP51" s="447"/>
      <c r="AQ51" s="321"/>
      <c r="AR51" s="481"/>
      <c r="AS51" s="393"/>
      <c r="AT51" s="483"/>
      <c r="AW51">
        <f t="shared" si="45"/>
        <v>0</v>
      </c>
      <c r="AX51" t="str">
        <f t="shared" si="33"/>
        <v/>
      </c>
      <c r="AY51" s="132"/>
      <c r="BA51" s="513" t="str">
        <f>IF(団体情報・入力の仕方!$C$3&lt;&gt;"大田区大会","",IF(AW51=0,"",IF(I51&gt;=18,"○","")))</f>
        <v/>
      </c>
      <c r="BB51" s="53" t="str">
        <f>IF($AW51=0,"",IF(AND($I51&gt;=6,$I51&lt;=19),VLOOKUP($I51,参照データ!$B$24:$C$37,2,0),IF($I51&lt;6,6,19)))</f>
        <v/>
      </c>
      <c r="BC51" s="155" t="str">
        <f>IF($J51="○",VLOOKUP($BB51,参照データ!$C$24:$I$37,2,0),"")</f>
        <v/>
      </c>
      <c r="BD51" s="146" t="str">
        <f>IF($K51="○",VLOOKUP($BB51,参照データ!$C$24:$I$37,3,0),"")</f>
        <v/>
      </c>
      <c r="BE51" s="146" t="str">
        <f>IF($L51="○",VLOOKUP($BB51,参照データ!$C$24:$I$37,4,0),"")</f>
        <v/>
      </c>
      <c r="BF51" s="146" t="str">
        <f>IF($M51="○",VLOOKUP($BB51,参照データ!$C$24:$I$37,5,0),"")</f>
        <v/>
      </c>
      <c r="BG51" s="146" t="str">
        <f>IF($N51="20日",VLOOKUP($BB51,参照データ!$C$24:$I$37,6,0),"")</f>
        <v/>
      </c>
      <c r="BH51" s="156" t="str">
        <f>IF($O51="20日",VLOOKUP($BB51,参照データ!$C$24:$I$37,7,0),"")</f>
        <v/>
      </c>
      <c r="BI51" s="155" t="str">
        <f>IF($J51="21日",VLOOKUP($BB51,参照データ!$C$24:$I$37,2,0),"")</f>
        <v/>
      </c>
      <c r="BJ51" s="146" t="str">
        <f>IF($K51="21日",VLOOKUP($BB51,参照データ!$C$24:$I$37,3,0),"")</f>
        <v/>
      </c>
      <c r="BK51" s="146" t="str">
        <f>IF($L51="21日",VLOOKUP($BB51,参照データ!$C$24:$I$37,4,0),"")</f>
        <v/>
      </c>
      <c r="BL51" s="146" t="str">
        <f>IF($M51="21日",VLOOKUP($BB51,参照データ!$C$24:$I$37,5,0),"")</f>
        <v/>
      </c>
      <c r="BM51" s="146" t="str">
        <f>IF($N51="21日",VLOOKUP($BB51,参照データ!$C$24:$I$37,6,0),"")</f>
        <v/>
      </c>
      <c r="BN51" s="156" t="str">
        <f>IF($O51="21日",VLOOKUP($BB51,参照データ!$C$24:$I$37,7,0),"")</f>
        <v/>
      </c>
      <c r="BO51" s="223" t="str">
        <f t="shared" si="40"/>
        <v/>
      </c>
      <c r="BP51" s="154" t="str">
        <f>IF($R51="入門",VLOOKUP($BB51,参照データ!$C$43:$U$56,2,0),IF($R51="初級",VLOOKUP($BB51,参照データ!$C$43:$U$56,3,0),IF($R51="中級",VLOOKUP($BB51,参照データ!$C$43:$U$56,4,0),IF($R51="上級",VLOOKUP($BB51,参照データ!$C$43:$U$56,5,0),""))))</f>
        <v/>
      </c>
      <c r="BQ51" s="154" t="str">
        <f>IF($S51="初級",VLOOKUP($BB51,参照データ!$C$43:$U$56,6,0),IF($S51="中級",VLOOKUP($BB51,参照データ!$C$43:$U$56,7,0),IF($S51="上級",VLOOKUP($BB51,参照データ!$C$43:$U$56,8,0),"")))</f>
        <v/>
      </c>
      <c r="BR51" s="154" t="str">
        <f>IF($T51="初級",VLOOKUP($BB51,参照データ!$C$43:$U$56,9,0),IF($T51="上級",VLOOKUP($BB51,参照データ!$C$43:$U$56,10,0),""))</f>
        <v/>
      </c>
      <c r="BS51" s="154" t="str">
        <f>IF($U51="初級",VLOOKUP($BB51,参照データ!$C$43:$U$56,11,0),IF($U51="中級",VLOOKUP($BB51,参照データ!$C$43:$U$56,12,0),IF($U51="上級",VLOOKUP($BB51,参照データ!$C$43:$U$56,13,0),"")))</f>
        <v/>
      </c>
      <c r="BT51" s="154" t="str">
        <f>IF($V51="初級",VLOOKUP($BB51,参照データ!$C$43:$U$56,14,0),IF($V51="中級",VLOOKUP($BB51,参照データ!$C$43:$U$56,15,0),IF($V51="上級",VLOOKUP($BB51,参照データ!$C$43:$U$56,16,0),"")))</f>
        <v/>
      </c>
      <c r="BU51" s="47" t="str">
        <f t="shared" si="4"/>
        <v/>
      </c>
      <c r="BV51" s="47" t="str">
        <f>IF($W51="初級",VLOOKUP($BB51,参照データ!$C$43:$U$56,17,0),IF($W51="中級",VLOOKUP($BB51,参照データ!$C$43:$U$56,18,0),IF($W51="上級",VLOOKUP($BB51,参照データ!$C$43:$U$56,19,0),"")))</f>
        <v/>
      </c>
      <c r="BW51" s="687"/>
      <c r="BX51" s="65" t="s">
        <v>124</v>
      </c>
      <c r="BY51" s="135" t="str">
        <f t="shared" si="11"/>
        <v/>
      </c>
      <c r="BZ51" s="689"/>
      <c r="CB51" s="53" t="str">
        <f>IF(AND($AW51&gt;=参照データ!$C$67,$AW51&lt;=参照データ!$C$65),1,IF(AND($AW51&gt;=参照データ!$C$70,$AW51&lt;=参照データ!$C$68),2,IF(AND($AW51&gt;=参照データ!$C$73,$AW51&lt;=参照データ!$C$71),3,IF(AND($AW51&gt;=参照データ!$C$76,$AW51&lt;=参照データ!$C$74),4,IF(AND($AW51&gt;=参照データ!$C$79,$AW51&lt;=参照データ!$C$77),5,IF(AND($AW51&gt;0,$AW51&lt;=参照データ!$C$80),6,""))))))</f>
        <v/>
      </c>
      <c r="CC51" s="141" t="str">
        <f>IF($Z51="○",(VLOOKUP($CB51,参照データ!$D$65:$J$82,2,0)),"")</f>
        <v/>
      </c>
      <c r="CD51" s="71" t="str">
        <f t="shared" si="12"/>
        <v/>
      </c>
      <c r="CE51" s="70" t="str">
        <f>IF($AB51="○",(VLOOKUP($CB51,参照データ!$D$65:$J$82,3,0)),"")</f>
        <v/>
      </c>
      <c r="CF51" s="71" t="str">
        <f t="shared" si="13"/>
        <v/>
      </c>
      <c r="CG51" s="70" t="str">
        <f>IF($AD51="○",(VLOOKUP($CB51,参照データ!$D$65:$J$82,4,0)),"")</f>
        <v/>
      </c>
      <c r="CH51" s="71" t="str">
        <f t="shared" si="14"/>
        <v/>
      </c>
      <c r="CI51" s="70" t="str">
        <f>IF($AF51="○",(VLOOKUP($CB51,参照データ!$D$65:$J$82,5,0)),"")</f>
        <v/>
      </c>
      <c r="CJ51" s="71" t="str">
        <f t="shared" si="5"/>
        <v/>
      </c>
      <c r="CK51" s="70" t="str">
        <f>IF($AH51="○",(VLOOKUP($CB51,参照データ!$D$65:$J$82,6,0)),"")</f>
        <v/>
      </c>
      <c r="CL51" s="71" t="str">
        <f t="shared" si="15"/>
        <v/>
      </c>
      <c r="CM51" s="33" t="str">
        <f t="shared" si="16"/>
        <v/>
      </c>
      <c r="CN51" s="32" t="str">
        <f t="shared" si="17"/>
        <v/>
      </c>
      <c r="CO51" s="71" t="str">
        <f t="shared" si="18"/>
        <v/>
      </c>
      <c r="CP51" s="682"/>
      <c r="CQ51" s="77" t="s">
        <v>124</v>
      </c>
      <c r="CR51" s="78" t="str">
        <f t="shared" si="19"/>
        <v/>
      </c>
      <c r="CS51" s="684"/>
      <c r="CT51" s="308" t="str">
        <f t="shared" ref="CT51" si="94">$CT50</f>
        <v/>
      </c>
      <c r="CU51" s="70"/>
      <c r="CV51" s="172" t="str">
        <f t="shared" si="20"/>
        <v/>
      </c>
      <c r="CX51" s="32"/>
      <c r="CY51" s="161" t="str">
        <f t="shared" si="21"/>
        <v/>
      </c>
      <c r="CZ51" s="744"/>
      <c r="DA51" s="164" t="s">
        <v>124</v>
      </c>
      <c r="DB51" s="165" t="str">
        <f t="shared" si="42"/>
        <v/>
      </c>
      <c r="DC51" s="742"/>
      <c r="DD51" t="str">
        <f>IF($DE51="","",DATEDIF($AW51,参照データ!$D$19,"Y"))</f>
        <v/>
      </c>
      <c r="DE51" s="253" t="str">
        <f>IFERROR(IF($AX51="男子",VLOOKUP($DL51,参照データ!$D$88:$E$117,2,0),$DL51),0)</f>
        <v/>
      </c>
      <c r="DF51" s="84" t="str">
        <f>IF($Z51="選手権",(VLOOKUP($DE51,参照データ!$D$88:$K$117,3,0)),"")</f>
        <v/>
      </c>
      <c r="DG51" s="85" t="str">
        <f t="shared" si="6"/>
        <v/>
      </c>
      <c r="DH51" s="84" t="str">
        <f>IF($AB51="選手権",(VLOOKUP($DE51,参照データ!$D$88:$K$117,4,0)),"")</f>
        <v/>
      </c>
      <c r="DI51" s="85" t="str">
        <f t="shared" si="7"/>
        <v/>
      </c>
      <c r="DJ51" s="84" t="str">
        <f>IF($AD51="選手権",(VLOOKUP($DE51,参照データ!$D$88:$K$117,5,0)),"")</f>
        <v/>
      </c>
      <c r="DK51" s="85" t="str">
        <f t="shared" si="8"/>
        <v/>
      </c>
      <c r="DL51" s="53" t="str">
        <f>IF(AND($AW51&gt;=参照データ!$C$90,$AW51&lt;=参照データ!$C$88),1,IF(AND($AW51&gt;=参照データ!$C$93,$AW51&lt;=参照データ!$C$91),2,IF(AND($AW51&gt;=参照データ!$C$99,$AW51&lt;=参照データ!$C$97),3,IF(AND($AW51&gt;=参照データ!$C$105,$AW51&lt;=参照データ!$C$103),4,IF(AND($AW51&gt;=参照データ!$C$111,$AW51&lt;=参照データ!$C$109),5,IF(AND($AW51&gt;0,$AW51&lt;=参照データ!$C$112),6,""))))))</f>
        <v/>
      </c>
      <c r="DM51" s="84" t="str">
        <f>IF($AF51="選手権",(VLOOKUP($DL51,参照データ!$D$88:$K$117,6,0)),"")</f>
        <v/>
      </c>
      <c r="DN51" s="85" t="str">
        <f t="shared" si="9"/>
        <v/>
      </c>
      <c r="DO51" s="84" t="str">
        <f>IF($AH51="選手権",(VLOOKUP($DL51,参照データ!$D$88:$K$117,7,0)),"")</f>
        <v/>
      </c>
      <c r="DP51" s="85" t="str">
        <f t="shared" si="22"/>
        <v/>
      </c>
      <c r="DQ51" s="33" t="str">
        <f t="shared" si="23"/>
        <v/>
      </c>
      <c r="DR51" s="32" t="str">
        <f t="shared" si="24"/>
        <v/>
      </c>
      <c r="DS51" s="85" t="str">
        <f t="shared" si="25"/>
        <v/>
      </c>
      <c r="DT51" s="733"/>
      <c r="DU51" s="91" t="s">
        <v>124</v>
      </c>
      <c r="DV51" s="92" t="str">
        <f t="shared" si="35"/>
        <v/>
      </c>
      <c r="DW51" s="735"/>
      <c r="DX51" s="312" t="str">
        <f t="shared" ref="DX51" si="95">$DX50</f>
        <v/>
      </c>
      <c r="DZ51" s="491" t="str">
        <f t="shared" si="26"/>
        <v/>
      </c>
      <c r="EE51" s="35">
        <f>(COUNTIF($J51:$O51,"&lt;&gt;"))*参照データ!$E$3</f>
        <v>0</v>
      </c>
      <c r="EF51" s="219" t="str">
        <f>IF($Y51="○",参照データ!$E$4,"")</f>
        <v/>
      </c>
      <c r="EG51" s="18">
        <f>(SUM(COUNTIF($R51:$V51,{"入門","初級"}))*参照データ!$E$9)+(SUM(COUNTIF($R51:$V51,{"中級","上級"})*参照データ!$E$10))</f>
        <v>0</v>
      </c>
      <c r="EH51" s="18">
        <f>IFERROR(VLOOKUP($W51,参照データ!$D$9:$J$11,7,0),0)</f>
        <v>0</v>
      </c>
      <c r="EI51" s="18">
        <f>((COUNTIF($Z51:$AH51,"○"))*参照データ!$E$12)</f>
        <v>0</v>
      </c>
      <c r="EJ51" s="18" t="str">
        <f>(IF($AJ51="○",参照データ!$J$12,""))</f>
        <v/>
      </c>
      <c r="EM51" s="18">
        <f>((COUNTIF($Z51:$AH51,"選手権"))*参照データ!$E$13)</f>
        <v>0</v>
      </c>
      <c r="EN51" s="18" t="str">
        <f>(IF($AJ51="選手権",参照データ!$J$13,""))</f>
        <v/>
      </c>
      <c r="EO51" s="18">
        <f>(COUNTIF($AQ51:$AR51,"&lt;&gt;"))*参照データ!$H$3</f>
        <v>0</v>
      </c>
      <c r="EP51" s="18"/>
      <c r="EQ51" s="98">
        <f t="array" ref="EQ51">SUM(IF(ISERROR(EE51:EN51),0,(EE51:EN51)))</f>
        <v>0</v>
      </c>
      <c r="ER51" s="18"/>
      <c r="ES51" s="18">
        <f t="shared" si="10"/>
        <v>0</v>
      </c>
      <c r="ET51" s="18">
        <f t="shared" si="36"/>
        <v>0</v>
      </c>
      <c r="EU51" s="18">
        <f t="shared" si="27"/>
        <v>0</v>
      </c>
      <c r="EV51" s="18">
        <f t="shared" si="28"/>
        <v>0</v>
      </c>
      <c r="EW51" s="18">
        <f t="shared" si="29"/>
        <v>0</v>
      </c>
      <c r="EX51" s="18">
        <f t="shared" si="30"/>
        <v>0</v>
      </c>
      <c r="EY51" t="str">
        <f t="shared" si="31"/>
        <v/>
      </c>
    </row>
    <row r="52" spans="1:155" ht="18.75" customHeight="1" x14ac:dyDescent="0.2">
      <c r="A52">
        <v>41</v>
      </c>
      <c r="B52" s="14" t="str">
        <f>IF(D52="","",IF(D52="重複","",COUNTIF(B$12:$B51,"&gt;0")+1))</f>
        <v/>
      </c>
      <c r="C52" s="464"/>
      <c r="D52" s="177"/>
      <c r="E52" s="177"/>
      <c r="F52" s="31"/>
      <c r="G52" s="41"/>
      <c r="H52" s="351">
        <f t="shared" si="32"/>
        <v>0</v>
      </c>
      <c r="I52" s="193" t="str">
        <f>IF($AW52=0,"",DATEDIF($AW52,参照データ!$D$16,"Y"))</f>
        <v/>
      </c>
      <c r="J52" s="517"/>
      <c r="K52" s="517"/>
      <c r="L52" s="517"/>
      <c r="M52" s="517"/>
      <c r="N52" s="517"/>
      <c r="O52" s="518"/>
      <c r="P52" s="345"/>
      <c r="Q52" s="345"/>
      <c r="R52" s="519"/>
      <c r="S52" s="244"/>
      <c r="T52" s="244"/>
      <c r="U52" s="244"/>
      <c r="V52" s="245"/>
      <c r="W52" s="248"/>
      <c r="X52" s="250"/>
      <c r="Y52" s="345"/>
      <c r="Z52" s="388"/>
      <c r="AA52" s="346" t="str">
        <f>IF($Z52="○",VLOOKUP($CB52,参照データ!$D$65:$M$82,9,0),IF($Z52="選手権",VLOOKUP($DE52,参照データ!$D$88:$O$117,10,0),""))</f>
        <v/>
      </c>
      <c r="AB52" s="388"/>
      <c r="AC52" s="346" t="str">
        <f>IF($AB52="○",VLOOKUP($CB52,参照データ!$D$65:$M$82,10,0),IF($AB52="選手権",VLOOKUP($DE52,参照データ!$D$88:$O$117,11,0),""))</f>
        <v/>
      </c>
      <c r="AD52" s="388"/>
      <c r="AE52" s="346" t="str">
        <f>IF($AD52="○",VLOOKUP($CB52,参照データ!$D$65:$M$82,10,0),IF($AD52="選手権",VLOOKUP($DE52,参照データ!$D$88:$O$117,11,0),""))</f>
        <v/>
      </c>
      <c r="AF52" s="388"/>
      <c r="AG52" s="346" t="str">
        <f>IF($AF52="○",VLOOKUP($CB52,参照データ!$D$65:$M$82,10,0),IF($AF52="選手権",VLOOKUP($DL52,参照データ!$D$88:$O$117,12,0),""))</f>
        <v/>
      </c>
      <c r="AH52" s="388"/>
      <c r="AI52" s="346" t="str">
        <f>IF($AH52="○",VLOOKUP($CB52,参照データ!$D$65:$M$82,10,0),IF($AH52="選手権",VLOOKUP($DL52,参照データ!$D$88:$O$117,12,0),""))</f>
        <v/>
      </c>
      <c r="AJ52" s="388"/>
      <c r="AK52" s="511"/>
      <c r="AL52" s="346" t="str">
        <f t="shared" si="3"/>
        <v/>
      </c>
      <c r="AM52" s="392"/>
      <c r="AN52" s="391"/>
      <c r="AO52" s="391"/>
      <c r="AP52" s="447"/>
      <c r="AQ52" s="321"/>
      <c r="AR52" s="481"/>
      <c r="AS52" s="393"/>
      <c r="AT52" s="483"/>
      <c r="AW52">
        <f t="shared" si="45"/>
        <v>0</v>
      </c>
      <c r="AX52" t="str">
        <f t="shared" si="33"/>
        <v/>
      </c>
      <c r="AY52" s="132"/>
      <c r="BA52" s="513" t="str">
        <f>IF(団体情報・入力の仕方!$C$3&lt;&gt;"大田区大会","",IF(AW52=0,"",IF(I52&gt;=18,"○","")))</f>
        <v/>
      </c>
      <c r="BB52" s="53" t="str">
        <f>IF($AW52=0,"",IF(AND($I52&gt;=6,$I52&lt;=19),VLOOKUP($I52,参照データ!$B$24:$C$37,2,0),IF($I52&lt;6,6,19)))</f>
        <v/>
      </c>
      <c r="BC52" s="155" t="str">
        <f>IF($J52="○",VLOOKUP($BB52,参照データ!$C$24:$I$37,2,0),"")</f>
        <v/>
      </c>
      <c r="BD52" s="146" t="str">
        <f>IF($K52="○",VLOOKUP($BB52,参照データ!$C$24:$I$37,3,0),"")</f>
        <v/>
      </c>
      <c r="BE52" s="146" t="str">
        <f>IF($L52="○",VLOOKUP($BB52,参照データ!$C$24:$I$37,4,0),"")</f>
        <v/>
      </c>
      <c r="BF52" s="146" t="str">
        <f>IF($M52="○",VLOOKUP($BB52,参照データ!$C$24:$I$37,5,0),"")</f>
        <v/>
      </c>
      <c r="BG52" s="146" t="str">
        <f>IF($N52="20日",VLOOKUP($BB52,参照データ!$C$24:$I$37,6,0),"")</f>
        <v/>
      </c>
      <c r="BH52" s="156" t="str">
        <f>IF($O52="20日",VLOOKUP($BB52,参照データ!$C$24:$I$37,7,0),"")</f>
        <v/>
      </c>
      <c r="BI52" s="155" t="str">
        <f>IF($J52="21日",VLOOKUP($BB52,参照データ!$C$24:$I$37,2,0),"")</f>
        <v/>
      </c>
      <c r="BJ52" s="146" t="str">
        <f>IF($K52="21日",VLOOKUP($BB52,参照データ!$C$24:$I$37,3,0),"")</f>
        <v/>
      </c>
      <c r="BK52" s="146" t="str">
        <f>IF($L52="21日",VLOOKUP($BB52,参照データ!$C$24:$I$37,4,0),"")</f>
        <v/>
      </c>
      <c r="BL52" s="146" t="str">
        <f>IF($M52="21日",VLOOKUP($BB52,参照データ!$C$24:$I$37,5,0),"")</f>
        <v/>
      </c>
      <c r="BM52" s="146" t="str">
        <f>IF($N52="21日",VLOOKUP($BB52,参照データ!$C$24:$I$37,6,0),"")</f>
        <v/>
      </c>
      <c r="BN52" s="156" t="str">
        <f>IF($O52="21日",VLOOKUP($BB52,参照データ!$C$24:$I$37,7,0),"")</f>
        <v/>
      </c>
      <c r="BO52" s="223" t="str">
        <f t="shared" si="40"/>
        <v/>
      </c>
      <c r="BP52" s="154" t="str">
        <f>IF($R52="入門",VLOOKUP($BB52,参照データ!$C$43:$U$56,2,0),IF($R52="初級",VLOOKUP($BB52,参照データ!$C$43:$U$56,3,0),IF($R52="中級",VLOOKUP($BB52,参照データ!$C$43:$U$56,4,0),IF($R52="上級",VLOOKUP($BB52,参照データ!$C$43:$U$56,5,0),""))))</f>
        <v/>
      </c>
      <c r="BQ52" s="154" t="str">
        <f>IF($S52="初級",VLOOKUP($BB52,参照データ!$C$43:$U$56,6,0),IF($S52="中級",VLOOKUP($BB52,参照データ!$C$43:$U$56,7,0),IF($S52="上級",VLOOKUP($BB52,参照データ!$C$43:$U$56,8,0),"")))</f>
        <v/>
      </c>
      <c r="BR52" s="154" t="str">
        <f>IF($T52="初級",VLOOKUP($BB52,参照データ!$C$43:$U$56,9,0),IF($T52="上級",VLOOKUP($BB52,参照データ!$C$43:$U$56,10,0),""))</f>
        <v/>
      </c>
      <c r="BS52" s="154" t="str">
        <f>IF($U52="初級",VLOOKUP($BB52,参照データ!$C$43:$U$56,11,0),IF($U52="中級",VLOOKUP($BB52,参照データ!$C$43:$U$56,12,0),IF($U52="上級",VLOOKUP($BB52,参照データ!$C$43:$U$56,13,0),"")))</f>
        <v/>
      </c>
      <c r="BT52" s="154" t="str">
        <f>IF($V52="初級",VLOOKUP($BB52,参照データ!$C$43:$U$56,14,0),IF($V52="中級",VLOOKUP($BB52,参照データ!$C$43:$U$56,15,0),IF($V52="上級",VLOOKUP($BB52,参照データ!$C$43:$U$56,16,0),"")))</f>
        <v/>
      </c>
      <c r="BU52" s="47" t="str">
        <f t="shared" si="4"/>
        <v/>
      </c>
      <c r="BV52" s="47" t="str">
        <f>IF($W52="初級",VLOOKUP($BB52,参照データ!$C$43:$U$56,17,0),IF($W52="中級",VLOOKUP($BB52,参照データ!$C$43:$U$56,18,0),IF($W52="上級",VLOOKUP($BB52,参照データ!$C$43:$U$56,19,0),"")))</f>
        <v/>
      </c>
      <c r="BW52" s="686">
        <v>21</v>
      </c>
      <c r="BX52" s="66" t="s">
        <v>125</v>
      </c>
      <c r="BY52" s="136" t="str">
        <f t="shared" si="11"/>
        <v/>
      </c>
      <c r="BZ52" s="688" t="str">
        <f t="shared" ref="BZ52" si="96">IF(OR($BY52="",$BY53=""),"",IF($BY52&gt;$BY53,$BY52,$BY53))</f>
        <v/>
      </c>
      <c r="CB52" s="53" t="str">
        <f>IF(AND($AW52&gt;=参照データ!$C$67,$AW52&lt;=参照データ!$C$65),1,IF(AND($AW52&gt;=参照データ!$C$70,$AW52&lt;=参照データ!$C$68),2,IF(AND($AW52&gt;=参照データ!$C$73,$AW52&lt;=参照データ!$C$71),3,IF(AND($AW52&gt;=参照データ!$C$76,$AW52&lt;=参照データ!$C$74),4,IF(AND($AW52&gt;=参照データ!$C$79,$AW52&lt;=参照データ!$C$77),5,IF(AND($AW52&gt;0,$AW52&lt;=参照データ!$C$80),6,""))))))</f>
        <v/>
      </c>
      <c r="CC52" s="141" t="str">
        <f>IF($Z52="○",(VLOOKUP($CB52,参照データ!$D$65:$J$82,2,0)),"")</f>
        <v/>
      </c>
      <c r="CD52" s="71" t="str">
        <f t="shared" si="12"/>
        <v/>
      </c>
      <c r="CE52" s="70" t="str">
        <f>IF($AB52="○",(VLOOKUP($CB52,参照データ!$D$65:$J$82,3,0)),"")</f>
        <v/>
      </c>
      <c r="CF52" s="71" t="str">
        <f t="shared" si="13"/>
        <v/>
      </c>
      <c r="CG52" s="70" t="str">
        <f>IF($AD52="○",(VLOOKUP($CB52,参照データ!$D$65:$J$82,4,0)),"")</f>
        <v/>
      </c>
      <c r="CH52" s="71" t="str">
        <f t="shared" si="14"/>
        <v/>
      </c>
      <c r="CI52" s="70" t="str">
        <f>IF($AF52="○",(VLOOKUP($CB52,参照データ!$D$65:$J$82,5,0)),"")</f>
        <v/>
      </c>
      <c r="CJ52" s="71" t="str">
        <f t="shared" si="5"/>
        <v/>
      </c>
      <c r="CK52" s="70" t="str">
        <f>IF($AH52="○",(VLOOKUP($CB52,参照データ!$D$65:$J$82,6,0)),"")</f>
        <v/>
      </c>
      <c r="CL52" s="71" t="str">
        <f t="shared" si="15"/>
        <v/>
      </c>
      <c r="CM52" s="33" t="str">
        <f t="shared" si="16"/>
        <v/>
      </c>
      <c r="CN52" s="32" t="str">
        <f t="shared" si="17"/>
        <v/>
      </c>
      <c r="CO52" s="71" t="str">
        <f t="shared" si="18"/>
        <v/>
      </c>
      <c r="CP52" s="681">
        <v>21</v>
      </c>
      <c r="CQ52" s="79" t="s">
        <v>125</v>
      </c>
      <c r="CR52" s="80" t="str">
        <f t="shared" si="19"/>
        <v/>
      </c>
      <c r="CS52" s="683" t="e">
        <f>IF($CR52&gt;$CR53,VLOOKUP($CR52,参照データ!$D$65:$J$82,7,0),VLOOKUP($CR53,参照データ!$D$65:$J$82,7,0))</f>
        <v>#N/A</v>
      </c>
      <c r="CT52" s="308" t="str">
        <f>IFERROR(VLOOKUP($CS52,参照データ!$J$65:$M$82,4,0),"")</f>
        <v/>
      </c>
      <c r="CU52" s="70"/>
      <c r="CV52" s="172" t="str">
        <f t="shared" si="20"/>
        <v/>
      </c>
      <c r="CX52" s="32"/>
      <c r="CY52" s="161" t="str">
        <f t="shared" si="21"/>
        <v/>
      </c>
      <c r="CZ52" s="743">
        <v>21</v>
      </c>
      <c r="DA52" s="166" t="s">
        <v>125</v>
      </c>
      <c r="DB52" s="167" t="str">
        <f t="shared" si="42"/>
        <v/>
      </c>
      <c r="DC52" s="741" t="str">
        <f>IF(OR(DB52="",DB53=""),"",IF(DB52&gt;DB53,DB52,DB53))</f>
        <v/>
      </c>
      <c r="DD52" t="str">
        <f>IF($DE52="","",DATEDIF($AW52,参照データ!$D$19,"Y"))</f>
        <v/>
      </c>
      <c r="DE52" s="253" t="str">
        <f>IFERROR(IF($AX52="男子",VLOOKUP($DL52,参照データ!$D$88:$E$117,2,0),$DL52),0)</f>
        <v/>
      </c>
      <c r="DF52" s="84" t="str">
        <f>IF($Z52="選手権",(VLOOKUP($DE52,参照データ!$D$88:$K$117,3,0)),"")</f>
        <v/>
      </c>
      <c r="DG52" s="85" t="str">
        <f t="shared" si="6"/>
        <v/>
      </c>
      <c r="DH52" s="84" t="str">
        <f>IF($AB52="選手権",(VLOOKUP($DE52,参照データ!$D$88:$K$117,4,0)),"")</f>
        <v/>
      </c>
      <c r="DI52" s="85" t="str">
        <f t="shared" si="7"/>
        <v/>
      </c>
      <c r="DJ52" s="84" t="str">
        <f>IF($AD52="選手権",(VLOOKUP($DE52,参照データ!$D$88:$K$117,5,0)),"")</f>
        <v/>
      </c>
      <c r="DK52" s="85" t="str">
        <f t="shared" si="8"/>
        <v/>
      </c>
      <c r="DL52" s="53" t="str">
        <f>IF(AND($AW52&gt;=参照データ!$C$90,$AW52&lt;=参照データ!$C$88),1,IF(AND($AW52&gt;=参照データ!$C$93,$AW52&lt;=参照データ!$C$91),2,IF(AND($AW52&gt;=参照データ!$C$99,$AW52&lt;=参照データ!$C$97),3,IF(AND($AW52&gt;=参照データ!$C$105,$AW52&lt;=参照データ!$C$103),4,IF(AND($AW52&gt;=参照データ!$C$111,$AW52&lt;=参照データ!$C$109),5,IF(AND($AW52&gt;0,$AW52&lt;=参照データ!$C$112),6,""))))))</f>
        <v/>
      </c>
      <c r="DM52" s="84" t="str">
        <f>IF($AF52="選手権",(VLOOKUP($DL52,参照データ!$D$88:$K$117,6,0)),"")</f>
        <v/>
      </c>
      <c r="DN52" s="85" t="str">
        <f t="shared" si="9"/>
        <v/>
      </c>
      <c r="DO52" s="84" t="str">
        <f>IF($AH52="選手権",(VLOOKUP($DL52,参照データ!$D$88:$K$117,7,0)),"")</f>
        <v/>
      </c>
      <c r="DP52" s="85" t="str">
        <f t="shared" si="22"/>
        <v/>
      </c>
      <c r="DQ52" s="33" t="str">
        <f t="shared" si="23"/>
        <v/>
      </c>
      <c r="DR52" s="32" t="str">
        <f t="shared" si="24"/>
        <v/>
      </c>
      <c r="DS52" s="85" t="str">
        <f t="shared" si="25"/>
        <v/>
      </c>
      <c r="DT52" s="736">
        <v>21</v>
      </c>
      <c r="DU52" s="93" t="s">
        <v>125</v>
      </c>
      <c r="DV52" s="94" t="str">
        <f t="shared" si="35"/>
        <v/>
      </c>
      <c r="DW52" s="737" t="e">
        <f>IF($DV52&gt;$DV53,VLOOKUP($DV52,参照データ!$D$88:$K$117,8,0),VLOOKUP($DV53,参照データ!$D$88:$K$117,8,0))</f>
        <v>#N/A</v>
      </c>
      <c r="DX52" s="312" t="str">
        <f>IFERROR(VLOOKUP($DW52,参照データ!$K$88:$O$117,5,0),"")</f>
        <v/>
      </c>
      <c r="DZ52" s="491" t="str">
        <f t="shared" si="26"/>
        <v/>
      </c>
      <c r="EE52" s="35">
        <f>(COUNTIF($J52:$O52,"&lt;&gt;"))*参照データ!$E$3</f>
        <v>0</v>
      </c>
      <c r="EF52" s="219" t="str">
        <f>IF($Y52="○",参照データ!$E$4,"")</f>
        <v/>
      </c>
      <c r="EG52" s="18">
        <f>(SUM(COUNTIF($R52:$V52,{"入門","初級"}))*参照データ!$E$9)+(SUM(COUNTIF($R52:$V52,{"中級","上級"})*参照データ!$E$10))</f>
        <v>0</v>
      </c>
      <c r="EH52" s="18">
        <f>IFERROR(VLOOKUP($W52,参照データ!$D$9:$J$11,7,0),0)</f>
        <v>0</v>
      </c>
      <c r="EI52" s="18">
        <f>((COUNTIF($Z52:$AH52,"○"))*参照データ!$E$12)</f>
        <v>0</v>
      </c>
      <c r="EJ52" s="18" t="str">
        <f>(IF($AJ52="○",参照データ!$J$12,""))</f>
        <v/>
      </c>
      <c r="EM52" s="18">
        <f>((COUNTIF($Z52:$AH52,"選手権"))*参照データ!$E$13)</f>
        <v>0</v>
      </c>
      <c r="EN52" s="18" t="str">
        <f>(IF($AJ52="選手権",参照データ!$J$13,""))</f>
        <v/>
      </c>
      <c r="EO52" s="18">
        <f>(COUNTIF($AQ52:$AR52,"&lt;&gt;"))*参照データ!$H$3</f>
        <v>0</v>
      </c>
      <c r="EP52" s="18"/>
      <c r="EQ52" s="98">
        <f t="array" ref="EQ52">SUM(IF(ISERROR(EE52:EN52),0,(EE52:EN52)))</f>
        <v>0</v>
      </c>
      <c r="ER52" s="18"/>
      <c r="ES52" s="18">
        <f t="shared" si="10"/>
        <v>0</v>
      </c>
      <c r="ET52" s="18">
        <f t="shared" si="36"/>
        <v>0</v>
      </c>
      <c r="EU52" s="18">
        <f t="shared" si="27"/>
        <v>0</v>
      </c>
      <c r="EV52" s="18">
        <f t="shared" si="28"/>
        <v>0</v>
      </c>
      <c r="EW52" s="18">
        <f t="shared" si="29"/>
        <v>0</v>
      </c>
      <c r="EX52" s="18">
        <f t="shared" si="30"/>
        <v>0</v>
      </c>
      <c r="EY52" t="str">
        <f t="shared" si="31"/>
        <v/>
      </c>
    </row>
    <row r="53" spans="1:155" ht="18.75" customHeight="1" x14ac:dyDescent="0.2">
      <c r="A53">
        <v>42</v>
      </c>
      <c r="B53" s="14" t="str">
        <f>IF(D53="","",IF(D53="重複","",COUNTIF(B$12:$B52,"&gt;0")+1))</f>
        <v/>
      </c>
      <c r="C53" s="464"/>
      <c r="D53" s="177"/>
      <c r="E53" s="177"/>
      <c r="F53" s="31"/>
      <c r="G53" s="41"/>
      <c r="H53" s="351">
        <f t="shared" si="32"/>
        <v>0</v>
      </c>
      <c r="I53" s="193" t="str">
        <f>IF($AW53=0,"",DATEDIF($AW53,参照データ!$D$16,"Y"))</f>
        <v/>
      </c>
      <c r="J53" s="517"/>
      <c r="K53" s="517"/>
      <c r="L53" s="517"/>
      <c r="M53" s="517"/>
      <c r="N53" s="517"/>
      <c r="O53" s="518"/>
      <c r="P53" s="345"/>
      <c r="Q53" s="345"/>
      <c r="R53" s="519"/>
      <c r="S53" s="244"/>
      <c r="T53" s="244"/>
      <c r="U53" s="244"/>
      <c r="V53" s="245"/>
      <c r="W53" s="248"/>
      <c r="X53" s="250"/>
      <c r="Y53" s="345"/>
      <c r="Z53" s="388"/>
      <c r="AA53" s="346" t="str">
        <f>IF($Z53="○",VLOOKUP($CB53,参照データ!$D$65:$M$82,9,0),IF($Z53="選手権",VLOOKUP($DE53,参照データ!$D$88:$O$117,10,0),""))</f>
        <v/>
      </c>
      <c r="AB53" s="388"/>
      <c r="AC53" s="346" t="str">
        <f>IF($AB53="○",VLOOKUP($CB53,参照データ!$D$65:$M$82,10,0),IF($AB53="選手権",VLOOKUP($DE53,参照データ!$D$88:$O$117,11,0),""))</f>
        <v/>
      </c>
      <c r="AD53" s="388"/>
      <c r="AE53" s="346" t="str">
        <f>IF($AD53="○",VLOOKUP($CB53,参照データ!$D$65:$M$82,10,0),IF($AD53="選手権",VLOOKUP($DE53,参照データ!$D$88:$O$117,11,0),""))</f>
        <v/>
      </c>
      <c r="AF53" s="388"/>
      <c r="AG53" s="346" t="str">
        <f>IF($AF53="○",VLOOKUP($CB53,参照データ!$D$65:$M$82,10,0),IF($AF53="選手権",VLOOKUP($DL53,参照データ!$D$88:$O$117,12,0),""))</f>
        <v/>
      </c>
      <c r="AH53" s="388"/>
      <c r="AI53" s="346" t="str">
        <f>IF($AH53="○",VLOOKUP($CB53,参照データ!$D$65:$M$82,10,0),IF($AH53="選手権",VLOOKUP($DL53,参照データ!$D$88:$O$117,12,0),""))</f>
        <v/>
      </c>
      <c r="AJ53" s="388"/>
      <c r="AK53" s="511"/>
      <c r="AL53" s="346" t="str">
        <f t="shared" si="3"/>
        <v/>
      </c>
      <c r="AM53" s="392"/>
      <c r="AN53" s="391"/>
      <c r="AO53" s="391"/>
      <c r="AP53" s="447"/>
      <c r="AQ53" s="321"/>
      <c r="AR53" s="481"/>
      <c r="AS53" s="393"/>
      <c r="AT53" s="483"/>
      <c r="AW53">
        <f t="shared" si="45"/>
        <v>0</v>
      </c>
      <c r="AX53" t="str">
        <f t="shared" si="33"/>
        <v/>
      </c>
      <c r="AY53" s="132"/>
      <c r="BA53" s="513" t="str">
        <f>IF(団体情報・入力の仕方!$C$3&lt;&gt;"大田区大会","",IF(AW53=0,"",IF(I53&gt;=18,"○","")))</f>
        <v/>
      </c>
      <c r="BB53" s="53" t="str">
        <f>IF($AW53=0,"",IF(AND($I53&gt;=6,$I53&lt;=19),VLOOKUP($I53,参照データ!$B$24:$C$37,2,0),IF($I53&lt;6,6,19)))</f>
        <v/>
      </c>
      <c r="BC53" s="155" t="str">
        <f>IF($J53="○",VLOOKUP($BB53,参照データ!$C$24:$I$37,2,0),"")</f>
        <v/>
      </c>
      <c r="BD53" s="146" t="str">
        <f>IF($K53="○",VLOOKUP($BB53,参照データ!$C$24:$I$37,3,0),"")</f>
        <v/>
      </c>
      <c r="BE53" s="146" t="str">
        <f>IF($L53="○",VLOOKUP($BB53,参照データ!$C$24:$I$37,4,0),"")</f>
        <v/>
      </c>
      <c r="BF53" s="146" t="str">
        <f>IF($M53="○",VLOOKUP($BB53,参照データ!$C$24:$I$37,5,0),"")</f>
        <v/>
      </c>
      <c r="BG53" s="146" t="str">
        <f>IF($N53="20日",VLOOKUP($BB53,参照データ!$C$24:$I$37,6,0),"")</f>
        <v/>
      </c>
      <c r="BH53" s="156" t="str">
        <f>IF($O53="20日",VLOOKUP($BB53,参照データ!$C$24:$I$37,7,0),"")</f>
        <v/>
      </c>
      <c r="BI53" s="155" t="str">
        <f>IF($J53="21日",VLOOKUP($BB53,参照データ!$C$24:$I$37,2,0),"")</f>
        <v/>
      </c>
      <c r="BJ53" s="146" t="str">
        <f>IF($K53="21日",VLOOKUP($BB53,参照データ!$C$24:$I$37,3,0),"")</f>
        <v/>
      </c>
      <c r="BK53" s="146" t="str">
        <f>IF($L53="21日",VLOOKUP($BB53,参照データ!$C$24:$I$37,4,0),"")</f>
        <v/>
      </c>
      <c r="BL53" s="146" t="str">
        <f>IF($M53="21日",VLOOKUP($BB53,参照データ!$C$24:$I$37,5,0),"")</f>
        <v/>
      </c>
      <c r="BM53" s="146" t="str">
        <f>IF($N53="21日",VLOOKUP($BB53,参照データ!$C$24:$I$37,6,0),"")</f>
        <v/>
      </c>
      <c r="BN53" s="156" t="str">
        <f>IF($O53="21日",VLOOKUP($BB53,参照データ!$C$24:$I$37,7,0),"")</f>
        <v/>
      </c>
      <c r="BO53" s="223" t="str">
        <f t="shared" si="40"/>
        <v/>
      </c>
      <c r="BP53" s="154" t="str">
        <f>IF($R53="入門",VLOOKUP($BB53,参照データ!$C$43:$U$56,2,0),IF($R53="初級",VLOOKUP($BB53,参照データ!$C$43:$U$56,3,0),IF($R53="中級",VLOOKUP($BB53,参照データ!$C$43:$U$56,4,0),IF($R53="上級",VLOOKUP($BB53,参照データ!$C$43:$U$56,5,0),""))))</f>
        <v/>
      </c>
      <c r="BQ53" s="154" t="str">
        <f>IF($S53="初級",VLOOKUP($BB53,参照データ!$C$43:$U$56,6,0),IF($S53="中級",VLOOKUP($BB53,参照データ!$C$43:$U$56,7,0),IF($S53="上級",VLOOKUP($BB53,参照データ!$C$43:$U$56,8,0),"")))</f>
        <v/>
      </c>
      <c r="BR53" s="154" t="str">
        <f>IF($T53="初級",VLOOKUP($BB53,参照データ!$C$43:$U$56,9,0),IF($T53="上級",VLOOKUP($BB53,参照データ!$C$43:$U$56,10,0),""))</f>
        <v/>
      </c>
      <c r="BS53" s="154" t="str">
        <f>IF($U53="初級",VLOOKUP($BB53,参照データ!$C$43:$U$56,11,0),IF($U53="中級",VLOOKUP($BB53,参照データ!$C$43:$U$56,12,0),IF($U53="上級",VLOOKUP($BB53,参照データ!$C$43:$U$56,13,0),"")))</f>
        <v/>
      </c>
      <c r="BT53" s="154" t="str">
        <f>IF($V53="初級",VLOOKUP($BB53,参照データ!$C$43:$U$56,14,0),IF($V53="中級",VLOOKUP($BB53,参照データ!$C$43:$U$56,15,0),IF($V53="上級",VLOOKUP($BB53,参照データ!$C$43:$U$56,16,0),"")))</f>
        <v/>
      </c>
      <c r="BU53" s="47" t="str">
        <f t="shared" si="4"/>
        <v/>
      </c>
      <c r="BV53" s="47" t="str">
        <f>IF($W53="初級",VLOOKUP($BB53,参照データ!$C$43:$U$56,17,0),IF($W53="中級",VLOOKUP($BB53,参照データ!$C$43:$U$56,18,0),IF($W53="上級",VLOOKUP($BB53,参照データ!$C$43:$U$56,19,0),"")))</f>
        <v/>
      </c>
      <c r="BW53" s="687"/>
      <c r="BX53" s="65" t="s">
        <v>126</v>
      </c>
      <c r="BY53" s="135" t="str">
        <f t="shared" si="11"/>
        <v/>
      </c>
      <c r="BZ53" s="689"/>
      <c r="CB53" s="53" t="str">
        <f>IF(AND($AW53&gt;=参照データ!$C$67,$AW53&lt;=参照データ!$C$65),1,IF(AND($AW53&gt;=参照データ!$C$70,$AW53&lt;=参照データ!$C$68),2,IF(AND($AW53&gt;=参照データ!$C$73,$AW53&lt;=参照データ!$C$71),3,IF(AND($AW53&gt;=参照データ!$C$76,$AW53&lt;=参照データ!$C$74),4,IF(AND($AW53&gt;=参照データ!$C$79,$AW53&lt;=参照データ!$C$77),5,IF(AND($AW53&gt;0,$AW53&lt;=参照データ!$C$80),6,""))))))</f>
        <v/>
      </c>
      <c r="CC53" s="141" t="str">
        <f>IF($Z53="○",(VLOOKUP($CB53,参照データ!$D$65:$J$82,2,0)),"")</f>
        <v/>
      </c>
      <c r="CD53" s="71" t="str">
        <f t="shared" si="12"/>
        <v/>
      </c>
      <c r="CE53" s="70" t="str">
        <f>IF($AB53="○",(VLOOKUP($CB53,参照データ!$D$65:$J$82,3,0)),"")</f>
        <v/>
      </c>
      <c r="CF53" s="71" t="str">
        <f t="shared" si="13"/>
        <v/>
      </c>
      <c r="CG53" s="70" t="str">
        <f>IF($AD53="○",(VLOOKUP($CB53,参照データ!$D$65:$J$82,4,0)),"")</f>
        <v/>
      </c>
      <c r="CH53" s="71" t="str">
        <f t="shared" si="14"/>
        <v/>
      </c>
      <c r="CI53" s="70" t="str">
        <f>IF($AF53="○",(VLOOKUP($CB53,参照データ!$D$65:$J$82,5,0)),"")</f>
        <v/>
      </c>
      <c r="CJ53" s="71" t="str">
        <f t="shared" si="5"/>
        <v/>
      </c>
      <c r="CK53" s="70" t="str">
        <f>IF($AH53="○",(VLOOKUP($CB53,参照データ!$D$65:$J$82,6,0)),"")</f>
        <v/>
      </c>
      <c r="CL53" s="71" t="str">
        <f t="shared" si="15"/>
        <v/>
      </c>
      <c r="CM53" s="33" t="str">
        <f t="shared" si="16"/>
        <v/>
      </c>
      <c r="CN53" s="32" t="str">
        <f t="shared" si="17"/>
        <v/>
      </c>
      <c r="CO53" s="71" t="str">
        <f t="shared" si="18"/>
        <v/>
      </c>
      <c r="CP53" s="682"/>
      <c r="CQ53" s="77" t="s">
        <v>126</v>
      </c>
      <c r="CR53" s="78" t="str">
        <f t="shared" si="19"/>
        <v/>
      </c>
      <c r="CS53" s="684"/>
      <c r="CT53" s="308" t="str">
        <f t="shared" ref="CT53" si="97">$CT52</f>
        <v/>
      </c>
      <c r="CU53" s="70"/>
      <c r="CV53" s="172" t="str">
        <f t="shared" si="20"/>
        <v/>
      </c>
      <c r="CX53" s="32"/>
      <c r="CY53" s="161" t="str">
        <f t="shared" si="21"/>
        <v/>
      </c>
      <c r="CZ53" s="744"/>
      <c r="DA53" s="164" t="s">
        <v>126</v>
      </c>
      <c r="DB53" s="165" t="str">
        <f t="shared" si="42"/>
        <v/>
      </c>
      <c r="DC53" s="742"/>
      <c r="DD53" t="str">
        <f>IF($DE53="","",DATEDIF($AW53,参照データ!$D$19,"Y"))</f>
        <v/>
      </c>
      <c r="DE53" s="253" t="str">
        <f>IFERROR(IF($AX53="男子",VLOOKUP($DL53,参照データ!$D$88:$E$117,2,0),$DL53),0)</f>
        <v/>
      </c>
      <c r="DF53" s="84" t="str">
        <f>IF($Z53="選手権",(VLOOKUP($DE53,参照データ!$D$88:$K$117,3,0)),"")</f>
        <v/>
      </c>
      <c r="DG53" s="85" t="str">
        <f t="shared" si="6"/>
        <v/>
      </c>
      <c r="DH53" s="84" t="str">
        <f>IF($AB53="選手権",(VLOOKUP($DE53,参照データ!$D$88:$K$117,4,0)),"")</f>
        <v/>
      </c>
      <c r="DI53" s="85" t="str">
        <f t="shared" si="7"/>
        <v/>
      </c>
      <c r="DJ53" s="84" t="str">
        <f>IF($AD53="選手権",(VLOOKUP($DE53,参照データ!$D$88:$K$117,5,0)),"")</f>
        <v/>
      </c>
      <c r="DK53" s="85" t="str">
        <f t="shared" si="8"/>
        <v/>
      </c>
      <c r="DL53" s="53" t="str">
        <f>IF(AND($AW53&gt;=参照データ!$C$90,$AW53&lt;=参照データ!$C$88),1,IF(AND($AW53&gt;=参照データ!$C$93,$AW53&lt;=参照データ!$C$91),2,IF(AND($AW53&gt;=参照データ!$C$99,$AW53&lt;=参照データ!$C$97),3,IF(AND($AW53&gt;=参照データ!$C$105,$AW53&lt;=参照データ!$C$103),4,IF(AND($AW53&gt;=参照データ!$C$111,$AW53&lt;=参照データ!$C$109),5,IF(AND($AW53&gt;0,$AW53&lt;=参照データ!$C$112),6,""))))))</f>
        <v/>
      </c>
      <c r="DM53" s="84" t="str">
        <f>IF($AF53="選手権",(VLOOKUP($DL53,参照データ!$D$88:$K$117,6,0)),"")</f>
        <v/>
      </c>
      <c r="DN53" s="85" t="str">
        <f t="shared" si="9"/>
        <v/>
      </c>
      <c r="DO53" s="84" t="str">
        <f>IF($AH53="選手権",(VLOOKUP($DL53,参照データ!$D$88:$K$117,7,0)),"")</f>
        <v/>
      </c>
      <c r="DP53" s="85" t="str">
        <f t="shared" si="22"/>
        <v/>
      </c>
      <c r="DQ53" s="33" t="str">
        <f t="shared" si="23"/>
        <v/>
      </c>
      <c r="DR53" s="32" t="str">
        <f t="shared" si="24"/>
        <v/>
      </c>
      <c r="DS53" s="85" t="str">
        <f t="shared" si="25"/>
        <v/>
      </c>
      <c r="DT53" s="733"/>
      <c r="DU53" s="91" t="s">
        <v>126</v>
      </c>
      <c r="DV53" s="92" t="str">
        <f t="shared" si="35"/>
        <v/>
      </c>
      <c r="DW53" s="735"/>
      <c r="DX53" s="312" t="str">
        <f t="shared" ref="DX53" si="98">$DX52</f>
        <v/>
      </c>
      <c r="DZ53" s="491" t="str">
        <f t="shared" si="26"/>
        <v/>
      </c>
      <c r="EE53" s="35">
        <f>(COUNTIF($J53:$O53,"&lt;&gt;"))*参照データ!$E$3</f>
        <v>0</v>
      </c>
      <c r="EF53" s="219" t="str">
        <f>IF($Y53="○",参照データ!$E$4,"")</f>
        <v/>
      </c>
      <c r="EG53" s="18">
        <f>(SUM(COUNTIF($R53:$V53,{"入門","初級"}))*参照データ!$E$9)+(SUM(COUNTIF($R53:$V53,{"中級","上級"})*参照データ!$E$10))</f>
        <v>0</v>
      </c>
      <c r="EH53" s="18">
        <f>IFERROR(VLOOKUP($W53,参照データ!$D$9:$J$11,7,0),0)</f>
        <v>0</v>
      </c>
      <c r="EI53" s="18">
        <f>((COUNTIF($Z53:$AH53,"○"))*参照データ!$E$12)</f>
        <v>0</v>
      </c>
      <c r="EJ53" s="18" t="str">
        <f>(IF($AJ53="○",参照データ!$J$12,""))</f>
        <v/>
      </c>
      <c r="EM53" s="18">
        <f>((COUNTIF($Z53:$AH53,"選手権"))*参照データ!$E$13)</f>
        <v>0</v>
      </c>
      <c r="EN53" s="18" t="str">
        <f>(IF($AJ53="選手権",参照データ!$J$13,""))</f>
        <v/>
      </c>
      <c r="EO53" s="18">
        <f>(COUNTIF($AQ53:$AR53,"&lt;&gt;"))*参照データ!$H$3</f>
        <v>0</v>
      </c>
      <c r="EP53" s="18"/>
      <c r="EQ53" s="98">
        <f t="array" ref="EQ53">SUM(IF(ISERROR(EE53:EN53),0,(EE53:EN53)))</f>
        <v>0</v>
      </c>
      <c r="ER53" s="18"/>
      <c r="ES53" s="18">
        <f t="shared" si="10"/>
        <v>0</v>
      </c>
      <c r="ET53" s="18">
        <f t="shared" si="36"/>
        <v>0</v>
      </c>
      <c r="EU53" s="18">
        <f t="shared" si="27"/>
        <v>0</v>
      </c>
      <c r="EV53" s="18">
        <f t="shared" si="28"/>
        <v>0</v>
      </c>
      <c r="EW53" s="18">
        <f t="shared" si="29"/>
        <v>0</v>
      </c>
      <c r="EX53" s="18">
        <f t="shared" si="30"/>
        <v>0</v>
      </c>
      <c r="EY53" t="str">
        <f t="shared" si="31"/>
        <v/>
      </c>
    </row>
    <row r="54" spans="1:155" ht="18.75" customHeight="1" x14ac:dyDescent="0.2">
      <c r="A54">
        <v>43</v>
      </c>
      <c r="B54" s="14" t="str">
        <f>IF(D54="","",IF(D54="重複","",COUNTIF(B$12:$B53,"&gt;0")+1))</f>
        <v/>
      </c>
      <c r="C54" s="464"/>
      <c r="D54" s="177"/>
      <c r="E54" s="177"/>
      <c r="F54" s="31"/>
      <c r="G54" s="41"/>
      <c r="H54" s="351">
        <f t="shared" si="32"/>
        <v>0</v>
      </c>
      <c r="I54" s="193" t="str">
        <f>IF($AW54=0,"",DATEDIF($AW54,参照データ!$D$16,"Y"))</f>
        <v/>
      </c>
      <c r="J54" s="517"/>
      <c r="K54" s="517"/>
      <c r="L54" s="517"/>
      <c r="M54" s="517"/>
      <c r="N54" s="517"/>
      <c r="O54" s="518"/>
      <c r="P54" s="345"/>
      <c r="Q54" s="345"/>
      <c r="R54" s="519"/>
      <c r="S54" s="244"/>
      <c r="T54" s="244"/>
      <c r="U54" s="244"/>
      <c r="V54" s="245"/>
      <c r="W54" s="248"/>
      <c r="X54" s="250"/>
      <c r="Y54" s="345"/>
      <c r="Z54" s="388"/>
      <c r="AA54" s="346" t="str">
        <f>IF($Z54="○",VLOOKUP($CB54,参照データ!$D$65:$M$82,9,0),IF($Z54="選手権",VLOOKUP($DE54,参照データ!$D$88:$O$117,10,0),""))</f>
        <v/>
      </c>
      <c r="AB54" s="388"/>
      <c r="AC54" s="346" t="str">
        <f>IF($AB54="○",VLOOKUP($CB54,参照データ!$D$65:$M$82,10,0),IF($AB54="選手権",VLOOKUP($DE54,参照データ!$D$88:$O$117,11,0),""))</f>
        <v/>
      </c>
      <c r="AD54" s="388"/>
      <c r="AE54" s="346" t="str">
        <f>IF($AD54="○",VLOOKUP($CB54,参照データ!$D$65:$M$82,10,0),IF($AD54="選手権",VLOOKUP($DE54,参照データ!$D$88:$O$117,11,0),""))</f>
        <v/>
      </c>
      <c r="AF54" s="388"/>
      <c r="AG54" s="346" t="str">
        <f>IF($AF54="○",VLOOKUP($CB54,参照データ!$D$65:$M$82,10,0),IF($AF54="選手権",VLOOKUP($DL54,参照データ!$D$88:$O$117,12,0),""))</f>
        <v/>
      </c>
      <c r="AH54" s="388"/>
      <c r="AI54" s="346" t="str">
        <f>IF($AH54="○",VLOOKUP($CB54,参照データ!$D$65:$M$82,10,0),IF($AH54="選手権",VLOOKUP($DL54,参照データ!$D$88:$O$117,12,0),""))</f>
        <v/>
      </c>
      <c r="AJ54" s="388"/>
      <c r="AK54" s="511"/>
      <c r="AL54" s="346" t="str">
        <f t="shared" si="3"/>
        <v/>
      </c>
      <c r="AM54" s="392"/>
      <c r="AN54" s="391"/>
      <c r="AO54" s="391"/>
      <c r="AP54" s="447"/>
      <c r="AQ54" s="321"/>
      <c r="AR54" s="481"/>
      <c r="AS54" s="393"/>
      <c r="AT54" s="483"/>
      <c r="AW54">
        <f t="shared" si="45"/>
        <v>0</v>
      </c>
      <c r="AX54" t="str">
        <f t="shared" si="33"/>
        <v/>
      </c>
      <c r="AY54" s="132"/>
      <c r="BA54" s="513" t="str">
        <f>IF(団体情報・入力の仕方!$C$3&lt;&gt;"大田区大会","",IF(AW54=0,"",IF(I54&gt;=18,"○","")))</f>
        <v/>
      </c>
      <c r="BB54" s="53" t="str">
        <f>IF($AW54=0,"",IF(AND($I54&gt;=6,$I54&lt;=19),VLOOKUP($I54,参照データ!$B$24:$C$37,2,0),IF($I54&lt;6,6,19)))</f>
        <v/>
      </c>
      <c r="BC54" s="155" t="str">
        <f>IF($J54="○",VLOOKUP($BB54,参照データ!$C$24:$I$37,2,0),"")</f>
        <v/>
      </c>
      <c r="BD54" s="146" t="str">
        <f>IF($K54="○",VLOOKUP($BB54,参照データ!$C$24:$I$37,3,0),"")</f>
        <v/>
      </c>
      <c r="BE54" s="146" t="str">
        <f>IF($L54="○",VLOOKUP($BB54,参照データ!$C$24:$I$37,4,0),"")</f>
        <v/>
      </c>
      <c r="BF54" s="146" t="str">
        <f>IF($M54="○",VLOOKUP($BB54,参照データ!$C$24:$I$37,5,0),"")</f>
        <v/>
      </c>
      <c r="BG54" s="146" t="str">
        <f>IF($N54="20日",VLOOKUP($BB54,参照データ!$C$24:$I$37,6,0),"")</f>
        <v/>
      </c>
      <c r="BH54" s="156" t="str">
        <f>IF($O54="20日",VLOOKUP($BB54,参照データ!$C$24:$I$37,7,0),"")</f>
        <v/>
      </c>
      <c r="BI54" s="155" t="str">
        <f>IF($J54="21日",VLOOKUP($BB54,参照データ!$C$24:$I$37,2,0),"")</f>
        <v/>
      </c>
      <c r="BJ54" s="146" t="str">
        <f>IF($K54="21日",VLOOKUP($BB54,参照データ!$C$24:$I$37,3,0),"")</f>
        <v/>
      </c>
      <c r="BK54" s="146" t="str">
        <f>IF($L54="21日",VLOOKUP($BB54,参照データ!$C$24:$I$37,4,0),"")</f>
        <v/>
      </c>
      <c r="BL54" s="146" t="str">
        <f>IF($M54="21日",VLOOKUP($BB54,参照データ!$C$24:$I$37,5,0),"")</f>
        <v/>
      </c>
      <c r="BM54" s="146" t="str">
        <f>IF($N54="21日",VLOOKUP($BB54,参照データ!$C$24:$I$37,6,0),"")</f>
        <v/>
      </c>
      <c r="BN54" s="156" t="str">
        <f>IF($O54="21日",VLOOKUP($BB54,参照データ!$C$24:$I$37,7,0),"")</f>
        <v/>
      </c>
      <c r="BO54" s="223" t="str">
        <f t="shared" si="40"/>
        <v/>
      </c>
      <c r="BP54" s="154" t="str">
        <f>IF($R54="入門",VLOOKUP($BB54,参照データ!$C$43:$U$56,2,0),IF($R54="初級",VLOOKUP($BB54,参照データ!$C$43:$U$56,3,0),IF($R54="中級",VLOOKUP($BB54,参照データ!$C$43:$U$56,4,0),IF($R54="上級",VLOOKUP($BB54,参照データ!$C$43:$U$56,5,0),""))))</f>
        <v/>
      </c>
      <c r="BQ54" s="154" t="str">
        <f>IF($S54="初級",VLOOKUP($BB54,参照データ!$C$43:$U$56,6,0),IF($S54="中級",VLOOKUP($BB54,参照データ!$C$43:$U$56,7,0),IF($S54="上級",VLOOKUP($BB54,参照データ!$C$43:$U$56,8,0),"")))</f>
        <v/>
      </c>
      <c r="BR54" s="154" t="str">
        <f>IF($T54="初級",VLOOKUP($BB54,参照データ!$C$43:$U$56,9,0),IF($T54="上級",VLOOKUP($BB54,参照データ!$C$43:$U$56,10,0),""))</f>
        <v/>
      </c>
      <c r="BS54" s="154" t="str">
        <f>IF($U54="初級",VLOOKUP($BB54,参照データ!$C$43:$U$56,11,0),IF($U54="中級",VLOOKUP($BB54,参照データ!$C$43:$U$56,12,0),IF($U54="上級",VLOOKUP($BB54,参照データ!$C$43:$U$56,13,0),"")))</f>
        <v/>
      </c>
      <c r="BT54" s="154" t="str">
        <f>IF($V54="初級",VLOOKUP($BB54,参照データ!$C$43:$U$56,14,0),IF($V54="中級",VLOOKUP($BB54,参照データ!$C$43:$U$56,15,0),IF($V54="上級",VLOOKUP($BB54,参照データ!$C$43:$U$56,16,0),"")))</f>
        <v/>
      </c>
      <c r="BU54" s="47" t="str">
        <f t="shared" si="4"/>
        <v/>
      </c>
      <c r="BV54" s="47" t="str">
        <f>IF($W54="初級",VLOOKUP($BB54,参照データ!$C$43:$U$56,17,0),IF($W54="中級",VLOOKUP($BB54,参照データ!$C$43:$U$56,18,0),IF($W54="上級",VLOOKUP($BB54,参照データ!$C$43:$U$56,19,0),"")))</f>
        <v/>
      </c>
      <c r="BW54" s="686">
        <v>22</v>
      </c>
      <c r="BX54" s="66" t="s">
        <v>127</v>
      </c>
      <c r="BY54" s="136" t="str">
        <f t="shared" si="11"/>
        <v/>
      </c>
      <c r="BZ54" s="688" t="str">
        <f t="shared" ref="BZ54" si="99">IF(OR($BY54="",$BY55=""),"",IF($BY54&gt;$BY55,$BY54,$BY55))</f>
        <v/>
      </c>
      <c r="CB54" s="53" t="str">
        <f>IF(AND($AW54&gt;=参照データ!$C$67,$AW54&lt;=参照データ!$C$65),1,IF(AND($AW54&gt;=参照データ!$C$70,$AW54&lt;=参照データ!$C$68),2,IF(AND($AW54&gt;=参照データ!$C$73,$AW54&lt;=参照データ!$C$71),3,IF(AND($AW54&gt;=参照データ!$C$76,$AW54&lt;=参照データ!$C$74),4,IF(AND($AW54&gt;=参照データ!$C$79,$AW54&lt;=参照データ!$C$77),5,IF(AND($AW54&gt;0,$AW54&lt;=参照データ!$C$80),6,""))))))</f>
        <v/>
      </c>
      <c r="CC54" s="141" t="str">
        <f>IF($Z54="○",(VLOOKUP($CB54,参照データ!$D$65:$J$82,2,0)),"")</f>
        <v/>
      </c>
      <c r="CD54" s="71" t="str">
        <f t="shared" si="12"/>
        <v/>
      </c>
      <c r="CE54" s="70" t="str">
        <f>IF($AB54="○",(VLOOKUP($CB54,参照データ!$D$65:$J$82,3,0)),"")</f>
        <v/>
      </c>
      <c r="CF54" s="71" t="str">
        <f t="shared" si="13"/>
        <v/>
      </c>
      <c r="CG54" s="70" t="str">
        <f>IF($AD54="○",(VLOOKUP($CB54,参照データ!$D$65:$J$82,4,0)),"")</f>
        <v/>
      </c>
      <c r="CH54" s="71" t="str">
        <f t="shared" si="14"/>
        <v/>
      </c>
      <c r="CI54" s="70" t="str">
        <f>IF($AF54="○",(VLOOKUP($CB54,参照データ!$D$65:$J$82,5,0)),"")</f>
        <v/>
      </c>
      <c r="CJ54" s="71" t="str">
        <f t="shared" si="5"/>
        <v/>
      </c>
      <c r="CK54" s="70" t="str">
        <f>IF($AH54="○",(VLOOKUP($CB54,参照データ!$D$65:$J$82,6,0)),"")</f>
        <v/>
      </c>
      <c r="CL54" s="71" t="str">
        <f t="shared" si="15"/>
        <v/>
      </c>
      <c r="CM54" s="33" t="str">
        <f t="shared" si="16"/>
        <v/>
      </c>
      <c r="CN54" s="32" t="str">
        <f t="shared" si="17"/>
        <v/>
      </c>
      <c r="CO54" s="71" t="str">
        <f t="shared" si="18"/>
        <v/>
      </c>
      <c r="CP54" s="681">
        <v>22</v>
      </c>
      <c r="CQ54" s="79" t="s">
        <v>127</v>
      </c>
      <c r="CR54" s="80" t="str">
        <f t="shared" si="19"/>
        <v/>
      </c>
      <c r="CS54" s="683" t="e">
        <f>IF($CR54&gt;$CR55,VLOOKUP($CR54,参照データ!$D$65:$J$82,7,0),VLOOKUP($CR55,参照データ!$D$65:$J$82,7,0))</f>
        <v>#N/A</v>
      </c>
      <c r="CT54" s="308" t="str">
        <f>IFERROR(VLOOKUP($CS54,参照データ!$J$65:$M$82,4,0),"")</f>
        <v/>
      </c>
      <c r="CU54" s="70"/>
      <c r="CV54" s="172" t="str">
        <f t="shared" si="20"/>
        <v/>
      </c>
      <c r="CX54" s="32"/>
      <c r="CY54" s="161" t="str">
        <f t="shared" si="21"/>
        <v/>
      </c>
      <c r="CZ54" s="743">
        <v>22</v>
      </c>
      <c r="DA54" s="166" t="s">
        <v>127</v>
      </c>
      <c r="DB54" s="167" t="str">
        <f t="shared" si="42"/>
        <v/>
      </c>
      <c r="DC54" s="741" t="str">
        <f>IF(OR(DB54="",DB55=""),"",IF(DB54&gt;DB55,DB54,DB55))</f>
        <v/>
      </c>
      <c r="DD54" t="str">
        <f>IF($DE54="","",DATEDIF($AW54,参照データ!$D$19,"Y"))</f>
        <v/>
      </c>
      <c r="DE54" s="253" t="str">
        <f>IFERROR(IF($AX54="男子",VLOOKUP($DL54,参照データ!$D$88:$E$117,2,0),$DL54),0)</f>
        <v/>
      </c>
      <c r="DF54" s="84" t="str">
        <f>IF($Z54="選手権",(VLOOKUP($DE54,参照データ!$D$88:$K$117,3,0)),"")</f>
        <v/>
      </c>
      <c r="DG54" s="85" t="str">
        <f t="shared" si="6"/>
        <v/>
      </c>
      <c r="DH54" s="84" t="str">
        <f>IF($AB54="選手権",(VLOOKUP($DE54,参照データ!$D$88:$K$117,4,0)),"")</f>
        <v/>
      </c>
      <c r="DI54" s="85" t="str">
        <f t="shared" si="7"/>
        <v/>
      </c>
      <c r="DJ54" s="84" t="str">
        <f>IF($AD54="選手権",(VLOOKUP($DE54,参照データ!$D$88:$K$117,5,0)),"")</f>
        <v/>
      </c>
      <c r="DK54" s="85" t="str">
        <f t="shared" si="8"/>
        <v/>
      </c>
      <c r="DL54" s="53" t="str">
        <f>IF(AND($AW54&gt;=参照データ!$C$90,$AW54&lt;=参照データ!$C$88),1,IF(AND($AW54&gt;=参照データ!$C$93,$AW54&lt;=参照データ!$C$91),2,IF(AND($AW54&gt;=参照データ!$C$99,$AW54&lt;=参照データ!$C$97),3,IF(AND($AW54&gt;=参照データ!$C$105,$AW54&lt;=参照データ!$C$103),4,IF(AND($AW54&gt;=参照データ!$C$111,$AW54&lt;=参照データ!$C$109),5,IF(AND($AW54&gt;0,$AW54&lt;=参照データ!$C$112),6,""))))))</f>
        <v/>
      </c>
      <c r="DM54" s="84" t="str">
        <f>IF($AF54="選手権",(VLOOKUP($DL54,参照データ!$D$88:$K$117,6,0)),"")</f>
        <v/>
      </c>
      <c r="DN54" s="85" t="str">
        <f t="shared" si="9"/>
        <v/>
      </c>
      <c r="DO54" s="84" t="str">
        <f>IF($AH54="選手権",(VLOOKUP($DL54,参照データ!$D$88:$K$117,7,0)),"")</f>
        <v/>
      </c>
      <c r="DP54" s="85" t="str">
        <f t="shared" si="22"/>
        <v/>
      </c>
      <c r="DQ54" s="33" t="str">
        <f t="shared" si="23"/>
        <v/>
      </c>
      <c r="DR54" s="32" t="str">
        <f t="shared" si="24"/>
        <v/>
      </c>
      <c r="DS54" s="85" t="str">
        <f t="shared" si="25"/>
        <v/>
      </c>
      <c r="DT54" s="736">
        <v>22</v>
      </c>
      <c r="DU54" s="93" t="s">
        <v>127</v>
      </c>
      <c r="DV54" s="94" t="str">
        <f t="shared" si="35"/>
        <v/>
      </c>
      <c r="DW54" s="737" t="e">
        <f>IF($DV54&gt;$DV55,VLOOKUP($DV54,参照データ!$D$88:$K$117,8,0),VLOOKUP($DV55,参照データ!$D$88:$K$117,8,0))</f>
        <v>#N/A</v>
      </c>
      <c r="DX54" s="312" t="str">
        <f>IFERROR(VLOOKUP($DW54,参照データ!$K$88:$O$117,5,0),"")</f>
        <v/>
      </c>
      <c r="DZ54" s="491" t="str">
        <f t="shared" si="26"/>
        <v/>
      </c>
      <c r="EE54" s="35">
        <f>(COUNTIF($J54:$O54,"&lt;&gt;"))*参照データ!$E$3</f>
        <v>0</v>
      </c>
      <c r="EF54" s="219" t="str">
        <f>IF($Y54="○",参照データ!$E$4,"")</f>
        <v/>
      </c>
      <c r="EG54" s="18">
        <f>(SUM(COUNTIF($R54:$V54,{"入門","初級"}))*参照データ!$E$9)+(SUM(COUNTIF($R54:$V54,{"中級","上級"})*参照データ!$E$10))</f>
        <v>0</v>
      </c>
      <c r="EH54" s="18">
        <f>IFERROR(VLOOKUP($W54,参照データ!$D$9:$J$11,7,0),0)</f>
        <v>0</v>
      </c>
      <c r="EI54" s="18">
        <f>((COUNTIF($Z54:$AH54,"○"))*参照データ!$E$12)</f>
        <v>0</v>
      </c>
      <c r="EJ54" s="18" t="str">
        <f>(IF($AJ54="○",参照データ!$J$12,""))</f>
        <v/>
      </c>
      <c r="EM54" s="18">
        <f>((COUNTIF($Z54:$AH54,"選手権"))*参照データ!$E$13)</f>
        <v>0</v>
      </c>
      <c r="EN54" s="18" t="str">
        <f>(IF($AJ54="選手権",参照データ!$J$13,""))</f>
        <v/>
      </c>
      <c r="EO54" s="18">
        <f>(COUNTIF($AQ54:$AR54,"&lt;&gt;"))*参照データ!$H$3</f>
        <v>0</v>
      </c>
      <c r="EP54" s="18"/>
      <c r="EQ54" s="98">
        <f t="array" ref="EQ54">SUM(IF(ISERROR(EE54:EN54),0,(EE54:EN54)))</f>
        <v>0</v>
      </c>
      <c r="ER54" s="18"/>
      <c r="ES54" s="18">
        <f t="shared" si="10"/>
        <v>0</v>
      </c>
      <c r="ET54" s="18">
        <f t="shared" si="36"/>
        <v>0</v>
      </c>
      <c r="EU54" s="18">
        <f t="shared" si="27"/>
        <v>0</v>
      </c>
      <c r="EV54" s="18">
        <f t="shared" si="28"/>
        <v>0</v>
      </c>
      <c r="EW54" s="18">
        <f t="shared" si="29"/>
        <v>0</v>
      </c>
      <c r="EX54" s="18">
        <f t="shared" si="30"/>
        <v>0</v>
      </c>
      <c r="EY54" t="str">
        <f t="shared" si="31"/>
        <v/>
      </c>
    </row>
    <row r="55" spans="1:155" ht="18.75" customHeight="1" x14ac:dyDescent="0.2">
      <c r="A55">
        <v>44</v>
      </c>
      <c r="B55" s="14" t="str">
        <f>IF(D55="","",IF(D55="重複","",COUNTIF(B$12:$B54,"&gt;0")+1))</f>
        <v/>
      </c>
      <c r="C55" s="464"/>
      <c r="D55" s="177"/>
      <c r="E55" s="177"/>
      <c r="F55" s="31"/>
      <c r="G55" s="41"/>
      <c r="H55" s="351">
        <f t="shared" si="32"/>
        <v>0</v>
      </c>
      <c r="I55" s="193" t="str">
        <f>IF($AW55=0,"",DATEDIF($AW55,参照データ!$D$16,"Y"))</f>
        <v/>
      </c>
      <c r="J55" s="517"/>
      <c r="K55" s="517"/>
      <c r="L55" s="517"/>
      <c r="M55" s="517"/>
      <c r="N55" s="517"/>
      <c r="O55" s="518"/>
      <c r="P55" s="345"/>
      <c r="Q55" s="345"/>
      <c r="R55" s="519"/>
      <c r="S55" s="244"/>
      <c r="T55" s="244"/>
      <c r="U55" s="244"/>
      <c r="V55" s="245"/>
      <c r="W55" s="248"/>
      <c r="X55" s="250"/>
      <c r="Y55" s="345"/>
      <c r="Z55" s="388"/>
      <c r="AA55" s="346" t="str">
        <f>IF($Z55="○",VLOOKUP($CB55,参照データ!$D$65:$M$82,9,0),IF($Z55="選手権",VLOOKUP($DE55,参照データ!$D$88:$O$117,10,0),""))</f>
        <v/>
      </c>
      <c r="AB55" s="388"/>
      <c r="AC55" s="346" t="str">
        <f>IF($AB55="○",VLOOKUP($CB55,参照データ!$D$65:$M$82,10,0),IF($AB55="選手権",VLOOKUP($DE55,参照データ!$D$88:$O$117,11,0),""))</f>
        <v/>
      </c>
      <c r="AD55" s="388"/>
      <c r="AE55" s="346" t="str">
        <f>IF($AD55="○",VLOOKUP($CB55,参照データ!$D$65:$M$82,10,0),IF($AD55="選手権",VLOOKUP($DE55,参照データ!$D$88:$O$117,11,0),""))</f>
        <v/>
      </c>
      <c r="AF55" s="388"/>
      <c r="AG55" s="346" t="str">
        <f>IF($AF55="○",VLOOKUP($CB55,参照データ!$D$65:$M$82,10,0),IF($AF55="選手権",VLOOKUP($DL55,参照データ!$D$88:$O$117,12,0),""))</f>
        <v/>
      </c>
      <c r="AH55" s="388"/>
      <c r="AI55" s="346" t="str">
        <f>IF($AH55="○",VLOOKUP($CB55,参照データ!$D$65:$M$82,10,0),IF($AH55="選手権",VLOOKUP($DL55,参照データ!$D$88:$O$117,12,0),""))</f>
        <v/>
      </c>
      <c r="AJ55" s="388"/>
      <c r="AK55" s="511"/>
      <c r="AL55" s="346" t="str">
        <f t="shared" si="3"/>
        <v/>
      </c>
      <c r="AM55" s="392"/>
      <c r="AN55" s="391"/>
      <c r="AO55" s="391"/>
      <c r="AP55" s="447"/>
      <c r="AQ55" s="321"/>
      <c r="AR55" s="481"/>
      <c r="AS55" s="393"/>
      <c r="AT55" s="483"/>
      <c r="AW55">
        <f t="shared" si="45"/>
        <v>0</v>
      </c>
      <c r="AX55" t="str">
        <f t="shared" si="33"/>
        <v/>
      </c>
      <c r="AY55" s="132"/>
      <c r="BA55" s="513" t="str">
        <f>IF(団体情報・入力の仕方!$C$3&lt;&gt;"大田区大会","",IF(AW55=0,"",IF(I55&gt;=18,"○","")))</f>
        <v/>
      </c>
      <c r="BB55" s="53" t="str">
        <f>IF($AW55=0,"",IF(AND($I55&gt;=6,$I55&lt;=19),VLOOKUP($I55,参照データ!$B$24:$C$37,2,0),IF($I55&lt;6,6,19)))</f>
        <v/>
      </c>
      <c r="BC55" s="155" t="str">
        <f>IF($J55="○",VLOOKUP($BB55,参照データ!$C$24:$I$37,2,0),"")</f>
        <v/>
      </c>
      <c r="BD55" s="146" t="str">
        <f>IF($K55="○",VLOOKUP($BB55,参照データ!$C$24:$I$37,3,0),"")</f>
        <v/>
      </c>
      <c r="BE55" s="146" t="str">
        <f>IF($L55="○",VLOOKUP($BB55,参照データ!$C$24:$I$37,4,0),"")</f>
        <v/>
      </c>
      <c r="BF55" s="146" t="str">
        <f>IF($M55="○",VLOOKUP($BB55,参照データ!$C$24:$I$37,5,0),"")</f>
        <v/>
      </c>
      <c r="BG55" s="146" t="str">
        <f>IF($N55="20日",VLOOKUP($BB55,参照データ!$C$24:$I$37,6,0),"")</f>
        <v/>
      </c>
      <c r="BH55" s="156" t="str">
        <f>IF($O55="20日",VLOOKUP($BB55,参照データ!$C$24:$I$37,7,0),"")</f>
        <v/>
      </c>
      <c r="BI55" s="155" t="str">
        <f>IF($J55="21日",VLOOKUP($BB55,参照データ!$C$24:$I$37,2,0),"")</f>
        <v/>
      </c>
      <c r="BJ55" s="146" t="str">
        <f>IF($K55="21日",VLOOKUP($BB55,参照データ!$C$24:$I$37,3,0),"")</f>
        <v/>
      </c>
      <c r="BK55" s="146" t="str">
        <f>IF($L55="21日",VLOOKUP($BB55,参照データ!$C$24:$I$37,4,0),"")</f>
        <v/>
      </c>
      <c r="BL55" s="146" t="str">
        <f>IF($M55="21日",VLOOKUP($BB55,参照データ!$C$24:$I$37,5,0),"")</f>
        <v/>
      </c>
      <c r="BM55" s="146" t="str">
        <f>IF($N55="21日",VLOOKUP($BB55,参照データ!$C$24:$I$37,6,0),"")</f>
        <v/>
      </c>
      <c r="BN55" s="156" t="str">
        <f>IF($O55="21日",VLOOKUP($BB55,参照データ!$C$24:$I$37,7,0),"")</f>
        <v/>
      </c>
      <c r="BO55" s="223" t="str">
        <f t="shared" si="40"/>
        <v/>
      </c>
      <c r="BP55" s="154" t="str">
        <f>IF($R55="入門",VLOOKUP($BB55,参照データ!$C$43:$U$56,2,0),IF($R55="初級",VLOOKUP($BB55,参照データ!$C$43:$U$56,3,0),IF($R55="中級",VLOOKUP($BB55,参照データ!$C$43:$U$56,4,0),IF($R55="上級",VLOOKUP($BB55,参照データ!$C$43:$U$56,5,0),""))))</f>
        <v/>
      </c>
      <c r="BQ55" s="154" t="str">
        <f>IF($S55="初級",VLOOKUP($BB55,参照データ!$C$43:$U$56,6,0),IF($S55="中級",VLOOKUP($BB55,参照データ!$C$43:$U$56,7,0),IF($S55="上級",VLOOKUP($BB55,参照データ!$C$43:$U$56,8,0),"")))</f>
        <v/>
      </c>
      <c r="BR55" s="154" t="str">
        <f>IF($T55="初級",VLOOKUP($BB55,参照データ!$C$43:$U$56,9,0),IF($T55="上級",VLOOKUP($BB55,参照データ!$C$43:$U$56,10,0),""))</f>
        <v/>
      </c>
      <c r="BS55" s="154" t="str">
        <f>IF($U55="初級",VLOOKUP($BB55,参照データ!$C$43:$U$56,11,0),IF($U55="中級",VLOOKUP($BB55,参照データ!$C$43:$U$56,12,0),IF($U55="上級",VLOOKUP($BB55,参照データ!$C$43:$U$56,13,0),"")))</f>
        <v/>
      </c>
      <c r="BT55" s="154" t="str">
        <f>IF($V55="初級",VLOOKUP($BB55,参照データ!$C$43:$U$56,14,0),IF($V55="中級",VLOOKUP($BB55,参照データ!$C$43:$U$56,15,0),IF($V55="上級",VLOOKUP($BB55,参照データ!$C$43:$U$56,16,0),"")))</f>
        <v/>
      </c>
      <c r="BU55" s="47" t="str">
        <f t="shared" si="4"/>
        <v/>
      </c>
      <c r="BV55" s="47" t="str">
        <f>IF($W55="初級",VLOOKUP($BB55,参照データ!$C$43:$U$56,17,0),IF($W55="中級",VLOOKUP($BB55,参照データ!$C$43:$U$56,18,0),IF($W55="上級",VLOOKUP($BB55,参照データ!$C$43:$U$56,19,0),"")))</f>
        <v/>
      </c>
      <c r="BW55" s="687"/>
      <c r="BX55" s="65" t="s">
        <v>128</v>
      </c>
      <c r="BY55" s="135" t="str">
        <f t="shared" si="11"/>
        <v/>
      </c>
      <c r="BZ55" s="689"/>
      <c r="CB55" s="53" t="str">
        <f>IF(AND($AW55&gt;=参照データ!$C$67,$AW55&lt;=参照データ!$C$65),1,IF(AND($AW55&gt;=参照データ!$C$70,$AW55&lt;=参照データ!$C$68),2,IF(AND($AW55&gt;=参照データ!$C$73,$AW55&lt;=参照データ!$C$71),3,IF(AND($AW55&gt;=参照データ!$C$76,$AW55&lt;=参照データ!$C$74),4,IF(AND($AW55&gt;=参照データ!$C$79,$AW55&lt;=参照データ!$C$77),5,IF(AND($AW55&gt;0,$AW55&lt;=参照データ!$C$80),6,""))))))</f>
        <v/>
      </c>
      <c r="CC55" s="141" t="str">
        <f>IF($Z55="○",(VLOOKUP($CB55,参照データ!$D$65:$J$82,2,0)),"")</f>
        <v/>
      </c>
      <c r="CD55" s="71" t="str">
        <f t="shared" si="12"/>
        <v/>
      </c>
      <c r="CE55" s="70" t="str">
        <f>IF($AB55="○",(VLOOKUP($CB55,参照データ!$D$65:$J$82,3,0)),"")</f>
        <v/>
      </c>
      <c r="CF55" s="71" t="str">
        <f t="shared" si="13"/>
        <v/>
      </c>
      <c r="CG55" s="70" t="str">
        <f>IF($AD55="○",(VLOOKUP($CB55,参照データ!$D$65:$J$82,4,0)),"")</f>
        <v/>
      </c>
      <c r="CH55" s="71" t="str">
        <f t="shared" si="14"/>
        <v/>
      </c>
      <c r="CI55" s="70" t="str">
        <f>IF($AF55="○",(VLOOKUP($CB55,参照データ!$D$65:$J$82,5,0)),"")</f>
        <v/>
      </c>
      <c r="CJ55" s="71" t="str">
        <f t="shared" si="5"/>
        <v/>
      </c>
      <c r="CK55" s="70" t="str">
        <f>IF($AH55="○",(VLOOKUP($CB55,参照データ!$D$65:$J$82,6,0)),"")</f>
        <v/>
      </c>
      <c r="CL55" s="71" t="str">
        <f t="shared" si="15"/>
        <v/>
      </c>
      <c r="CM55" s="33" t="str">
        <f t="shared" si="16"/>
        <v/>
      </c>
      <c r="CN55" s="32" t="str">
        <f t="shared" si="17"/>
        <v/>
      </c>
      <c r="CO55" s="71" t="str">
        <f t="shared" si="18"/>
        <v/>
      </c>
      <c r="CP55" s="682"/>
      <c r="CQ55" s="77" t="s">
        <v>128</v>
      </c>
      <c r="CR55" s="78" t="str">
        <f t="shared" si="19"/>
        <v/>
      </c>
      <c r="CS55" s="684"/>
      <c r="CT55" s="308" t="str">
        <f t="shared" ref="CT55" si="100">$CT54</f>
        <v/>
      </c>
      <c r="CU55" s="70"/>
      <c r="CV55" s="172" t="str">
        <f t="shared" si="20"/>
        <v/>
      </c>
      <c r="CX55" s="32"/>
      <c r="CY55" s="161" t="str">
        <f t="shared" si="21"/>
        <v/>
      </c>
      <c r="CZ55" s="744"/>
      <c r="DA55" s="164" t="s">
        <v>128</v>
      </c>
      <c r="DB55" s="165" t="str">
        <f t="shared" si="42"/>
        <v/>
      </c>
      <c r="DC55" s="742"/>
      <c r="DD55" t="str">
        <f>IF($DE55="","",DATEDIF($AW55,参照データ!$D$19,"Y"))</f>
        <v/>
      </c>
      <c r="DE55" s="253" t="str">
        <f>IFERROR(IF($AX55="男子",VLOOKUP($DL55,参照データ!$D$88:$E$117,2,0),$DL55),0)</f>
        <v/>
      </c>
      <c r="DF55" s="84" t="str">
        <f>IF($Z55="選手権",(VLOOKUP($DE55,参照データ!$D$88:$K$117,3,0)),"")</f>
        <v/>
      </c>
      <c r="DG55" s="85" t="str">
        <f t="shared" si="6"/>
        <v/>
      </c>
      <c r="DH55" s="84" t="str">
        <f>IF($AB55="選手権",(VLOOKUP($DE55,参照データ!$D$88:$K$117,4,0)),"")</f>
        <v/>
      </c>
      <c r="DI55" s="85" t="str">
        <f t="shared" si="7"/>
        <v/>
      </c>
      <c r="DJ55" s="84" t="str">
        <f>IF($AD55="選手権",(VLOOKUP($DE55,参照データ!$D$88:$K$117,5,0)),"")</f>
        <v/>
      </c>
      <c r="DK55" s="85" t="str">
        <f t="shared" si="8"/>
        <v/>
      </c>
      <c r="DL55" s="53" t="str">
        <f>IF(AND($AW55&gt;=参照データ!$C$90,$AW55&lt;=参照データ!$C$88),1,IF(AND($AW55&gt;=参照データ!$C$93,$AW55&lt;=参照データ!$C$91),2,IF(AND($AW55&gt;=参照データ!$C$99,$AW55&lt;=参照データ!$C$97),3,IF(AND($AW55&gt;=参照データ!$C$105,$AW55&lt;=参照データ!$C$103),4,IF(AND($AW55&gt;=参照データ!$C$111,$AW55&lt;=参照データ!$C$109),5,IF(AND($AW55&gt;0,$AW55&lt;=参照データ!$C$112),6,""))))))</f>
        <v/>
      </c>
      <c r="DM55" s="84" t="str">
        <f>IF($AF55="選手権",(VLOOKUP($DL55,参照データ!$D$88:$K$117,6,0)),"")</f>
        <v/>
      </c>
      <c r="DN55" s="85" t="str">
        <f t="shared" si="9"/>
        <v/>
      </c>
      <c r="DO55" s="84" t="str">
        <f>IF($AH55="選手権",(VLOOKUP($DL55,参照データ!$D$88:$K$117,7,0)),"")</f>
        <v/>
      </c>
      <c r="DP55" s="85" t="str">
        <f t="shared" si="22"/>
        <v/>
      </c>
      <c r="DQ55" s="33" t="str">
        <f t="shared" si="23"/>
        <v/>
      </c>
      <c r="DR55" s="32" t="str">
        <f t="shared" si="24"/>
        <v/>
      </c>
      <c r="DS55" s="85" t="str">
        <f t="shared" si="25"/>
        <v/>
      </c>
      <c r="DT55" s="733"/>
      <c r="DU55" s="91" t="s">
        <v>128</v>
      </c>
      <c r="DV55" s="92" t="str">
        <f t="shared" si="35"/>
        <v/>
      </c>
      <c r="DW55" s="735"/>
      <c r="DX55" s="312" t="str">
        <f t="shared" ref="DX55" si="101">$DX54</f>
        <v/>
      </c>
      <c r="DZ55" s="491" t="str">
        <f t="shared" si="26"/>
        <v/>
      </c>
      <c r="EE55" s="35">
        <f>(COUNTIF($J55:$O55,"&lt;&gt;"))*参照データ!$E$3</f>
        <v>0</v>
      </c>
      <c r="EF55" s="219" t="str">
        <f>IF($Y55="○",参照データ!$E$4,"")</f>
        <v/>
      </c>
      <c r="EG55" s="18">
        <f>(SUM(COUNTIF($R55:$V55,{"入門","初級"}))*参照データ!$E$9)+(SUM(COUNTIF($R55:$V55,{"中級","上級"})*参照データ!$E$10))</f>
        <v>0</v>
      </c>
      <c r="EH55" s="18">
        <f>IFERROR(VLOOKUP($W55,参照データ!$D$9:$J$11,7,0),0)</f>
        <v>0</v>
      </c>
      <c r="EI55" s="18">
        <f>((COUNTIF($Z55:$AH55,"○"))*参照データ!$E$12)</f>
        <v>0</v>
      </c>
      <c r="EJ55" s="18" t="str">
        <f>(IF($AJ55="○",参照データ!$J$12,""))</f>
        <v/>
      </c>
      <c r="EM55" s="18">
        <f>((COUNTIF($Z55:$AH55,"選手権"))*参照データ!$E$13)</f>
        <v>0</v>
      </c>
      <c r="EN55" s="18" t="str">
        <f>(IF($AJ55="選手権",参照データ!$J$13,""))</f>
        <v/>
      </c>
      <c r="EO55" s="18">
        <f>(COUNTIF($AQ55:$AR55,"&lt;&gt;"))*参照データ!$H$3</f>
        <v>0</v>
      </c>
      <c r="EP55" s="18"/>
      <c r="EQ55" s="98">
        <f t="array" ref="EQ55">SUM(IF(ISERROR(EE55:EN55),0,(EE55:EN55)))</f>
        <v>0</v>
      </c>
      <c r="ER55" s="18"/>
      <c r="ES55" s="18">
        <f t="shared" si="10"/>
        <v>0</v>
      </c>
      <c r="ET55" s="18">
        <f t="shared" si="36"/>
        <v>0</v>
      </c>
      <c r="EU55" s="18">
        <f t="shared" si="27"/>
        <v>0</v>
      </c>
      <c r="EV55" s="18">
        <f t="shared" si="28"/>
        <v>0</v>
      </c>
      <c r="EW55" s="18">
        <f t="shared" si="29"/>
        <v>0</v>
      </c>
      <c r="EX55" s="18">
        <f t="shared" si="30"/>
        <v>0</v>
      </c>
      <c r="EY55" t="str">
        <f t="shared" si="31"/>
        <v/>
      </c>
    </row>
    <row r="56" spans="1:155" ht="18.75" customHeight="1" x14ac:dyDescent="0.2">
      <c r="A56">
        <v>45</v>
      </c>
      <c r="B56" s="14" t="str">
        <f>IF(D56="","",IF(D56="重複","",COUNTIF(B$12:$B55,"&gt;0")+1))</f>
        <v/>
      </c>
      <c r="C56" s="464"/>
      <c r="D56" s="177"/>
      <c r="E56" s="177"/>
      <c r="F56" s="31"/>
      <c r="G56" s="41"/>
      <c r="H56" s="351">
        <f t="shared" si="32"/>
        <v>0</v>
      </c>
      <c r="I56" s="193" t="str">
        <f>IF($AW56=0,"",DATEDIF($AW56,参照データ!$D$16,"Y"))</f>
        <v/>
      </c>
      <c r="J56" s="517"/>
      <c r="K56" s="517"/>
      <c r="L56" s="517"/>
      <c r="M56" s="517"/>
      <c r="N56" s="517"/>
      <c r="O56" s="518"/>
      <c r="P56" s="345"/>
      <c r="Q56" s="345"/>
      <c r="R56" s="519"/>
      <c r="S56" s="244"/>
      <c r="T56" s="244"/>
      <c r="U56" s="244"/>
      <c r="V56" s="245"/>
      <c r="W56" s="248"/>
      <c r="X56" s="250"/>
      <c r="Y56" s="345"/>
      <c r="Z56" s="388"/>
      <c r="AA56" s="346" t="str">
        <f>IF($Z56="○",VLOOKUP($CB56,参照データ!$D$65:$M$82,9,0),IF($Z56="選手権",VLOOKUP($DE56,参照データ!$D$88:$O$117,10,0),""))</f>
        <v/>
      </c>
      <c r="AB56" s="388"/>
      <c r="AC56" s="346" t="str">
        <f>IF($AB56="○",VLOOKUP($CB56,参照データ!$D$65:$M$82,10,0),IF($AB56="選手権",VLOOKUP($DE56,参照データ!$D$88:$O$117,11,0),""))</f>
        <v/>
      </c>
      <c r="AD56" s="388"/>
      <c r="AE56" s="346" t="str">
        <f>IF($AD56="○",VLOOKUP($CB56,参照データ!$D$65:$M$82,10,0),IF($AD56="選手権",VLOOKUP($DE56,参照データ!$D$88:$O$117,11,0),""))</f>
        <v/>
      </c>
      <c r="AF56" s="388"/>
      <c r="AG56" s="346" t="str">
        <f>IF($AF56="○",VLOOKUP($CB56,参照データ!$D$65:$M$82,10,0),IF($AF56="選手権",VLOOKUP($DL56,参照データ!$D$88:$O$117,12,0),""))</f>
        <v/>
      </c>
      <c r="AH56" s="388"/>
      <c r="AI56" s="346" t="str">
        <f>IF($AH56="○",VLOOKUP($CB56,参照データ!$D$65:$M$82,10,0),IF($AH56="選手権",VLOOKUP($DL56,参照データ!$D$88:$O$117,12,0),""))</f>
        <v/>
      </c>
      <c r="AJ56" s="388"/>
      <c r="AK56" s="511"/>
      <c r="AL56" s="346" t="str">
        <f t="shared" si="3"/>
        <v/>
      </c>
      <c r="AM56" s="392"/>
      <c r="AN56" s="391"/>
      <c r="AO56" s="391"/>
      <c r="AP56" s="447"/>
      <c r="AQ56" s="321"/>
      <c r="AR56" s="481"/>
      <c r="AS56" s="393"/>
      <c r="AT56" s="483"/>
      <c r="AW56">
        <f t="shared" si="45"/>
        <v>0</v>
      </c>
      <c r="AX56" t="str">
        <f t="shared" si="33"/>
        <v/>
      </c>
      <c r="AY56" s="132"/>
      <c r="BA56" s="513" t="str">
        <f>IF(団体情報・入力の仕方!$C$3&lt;&gt;"大田区大会","",IF(AW56=0,"",IF(I56&gt;=18,"○","")))</f>
        <v/>
      </c>
      <c r="BB56" s="53" t="str">
        <f>IF($AW56=0,"",IF(AND($I56&gt;=6,$I56&lt;=19),VLOOKUP($I56,参照データ!$B$24:$C$37,2,0),IF($I56&lt;6,6,19)))</f>
        <v/>
      </c>
      <c r="BC56" s="155" t="str">
        <f>IF($J56="○",VLOOKUP($BB56,参照データ!$C$24:$I$37,2,0),"")</f>
        <v/>
      </c>
      <c r="BD56" s="146" t="str">
        <f>IF($K56="○",VLOOKUP($BB56,参照データ!$C$24:$I$37,3,0),"")</f>
        <v/>
      </c>
      <c r="BE56" s="146" t="str">
        <f>IF($L56="○",VLOOKUP($BB56,参照データ!$C$24:$I$37,4,0),"")</f>
        <v/>
      </c>
      <c r="BF56" s="146" t="str">
        <f>IF($M56="○",VLOOKUP($BB56,参照データ!$C$24:$I$37,5,0),"")</f>
        <v/>
      </c>
      <c r="BG56" s="146" t="str">
        <f>IF($N56="20日",VLOOKUP($BB56,参照データ!$C$24:$I$37,6,0),"")</f>
        <v/>
      </c>
      <c r="BH56" s="156" t="str">
        <f>IF($O56="20日",VLOOKUP($BB56,参照データ!$C$24:$I$37,7,0),"")</f>
        <v/>
      </c>
      <c r="BI56" s="155" t="str">
        <f>IF($J56="21日",VLOOKUP($BB56,参照データ!$C$24:$I$37,2,0),"")</f>
        <v/>
      </c>
      <c r="BJ56" s="146" t="str">
        <f>IF($K56="21日",VLOOKUP($BB56,参照データ!$C$24:$I$37,3,0),"")</f>
        <v/>
      </c>
      <c r="BK56" s="146" t="str">
        <f>IF($L56="21日",VLOOKUP($BB56,参照データ!$C$24:$I$37,4,0),"")</f>
        <v/>
      </c>
      <c r="BL56" s="146" t="str">
        <f>IF($M56="21日",VLOOKUP($BB56,参照データ!$C$24:$I$37,5,0),"")</f>
        <v/>
      </c>
      <c r="BM56" s="146" t="str">
        <f>IF($N56="21日",VLOOKUP($BB56,参照データ!$C$24:$I$37,6,0),"")</f>
        <v/>
      </c>
      <c r="BN56" s="156" t="str">
        <f>IF($O56="21日",VLOOKUP($BB56,参照データ!$C$24:$I$37,7,0),"")</f>
        <v/>
      </c>
      <c r="BO56" s="223" t="str">
        <f t="shared" si="40"/>
        <v/>
      </c>
      <c r="BP56" s="154" t="str">
        <f>IF($R56="入門",VLOOKUP($BB56,参照データ!$C$43:$U$56,2,0),IF($R56="初級",VLOOKUP($BB56,参照データ!$C$43:$U$56,3,0),IF($R56="中級",VLOOKUP($BB56,参照データ!$C$43:$U$56,4,0),IF($R56="上級",VLOOKUP($BB56,参照データ!$C$43:$U$56,5,0),""))))</f>
        <v/>
      </c>
      <c r="BQ56" s="154" t="str">
        <f>IF($S56="初級",VLOOKUP($BB56,参照データ!$C$43:$U$56,6,0),IF($S56="中級",VLOOKUP($BB56,参照データ!$C$43:$U$56,7,0),IF($S56="上級",VLOOKUP($BB56,参照データ!$C$43:$U$56,8,0),"")))</f>
        <v/>
      </c>
      <c r="BR56" s="154" t="str">
        <f>IF($T56="初級",VLOOKUP($BB56,参照データ!$C$43:$U$56,9,0),IF($T56="上級",VLOOKUP($BB56,参照データ!$C$43:$U$56,10,0),""))</f>
        <v/>
      </c>
      <c r="BS56" s="154" t="str">
        <f>IF($U56="初級",VLOOKUP($BB56,参照データ!$C$43:$U$56,11,0),IF($U56="中級",VLOOKUP($BB56,参照データ!$C$43:$U$56,12,0),IF($U56="上級",VLOOKUP($BB56,参照データ!$C$43:$U$56,13,0),"")))</f>
        <v/>
      </c>
      <c r="BT56" s="154" t="str">
        <f>IF($V56="初級",VLOOKUP($BB56,参照データ!$C$43:$U$56,14,0),IF($V56="中級",VLOOKUP($BB56,参照データ!$C$43:$U$56,15,0),IF($V56="上級",VLOOKUP($BB56,参照データ!$C$43:$U$56,16,0),"")))</f>
        <v/>
      </c>
      <c r="BU56" s="47" t="str">
        <f t="shared" si="4"/>
        <v/>
      </c>
      <c r="BV56" s="47" t="str">
        <f>IF($W56="初級",VLOOKUP($BB56,参照データ!$C$43:$U$56,17,0),IF($W56="中級",VLOOKUP($BB56,参照データ!$C$43:$U$56,18,0),IF($W56="上級",VLOOKUP($BB56,参照データ!$C$43:$U$56,19,0),"")))</f>
        <v/>
      </c>
      <c r="BW56" s="686">
        <v>23</v>
      </c>
      <c r="BX56" s="66" t="s">
        <v>129</v>
      </c>
      <c r="BY56" s="136" t="str">
        <f t="shared" si="11"/>
        <v/>
      </c>
      <c r="BZ56" s="688" t="str">
        <f t="shared" ref="BZ56" si="102">IF(OR($BY56="",$BY57=""),"",IF($BY56&gt;$BY57,$BY56,$BY57))</f>
        <v/>
      </c>
      <c r="CB56" s="53" t="str">
        <f>IF(AND($AW56&gt;=参照データ!$C$67,$AW56&lt;=参照データ!$C$65),1,IF(AND($AW56&gt;=参照データ!$C$70,$AW56&lt;=参照データ!$C$68),2,IF(AND($AW56&gt;=参照データ!$C$73,$AW56&lt;=参照データ!$C$71),3,IF(AND($AW56&gt;=参照データ!$C$76,$AW56&lt;=参照データ!$C$74),4,IF(AND($AW56&gt;=参照データ!$C$79,$AW56&lt;=参照データ!$C$77),5,IF(AND($AW56&gt;0,$AW56&lt;=参照データ!$C$80),6,""))))))</f>
        <v/>
      </c>
      <c r="CC56" s="141" t="str">
        <f>IF($Z56="○",(VLOOKUP($CB56,参照データ!$D$65:$J$82,2,0)),"")</f>
        <v/>
      </c>
      <c r="CD56" s="71" t="str">
        <f t="shared" si="12"/>
        <v/>
      </c>
      <c r="CE56" s="70" t="str">
        <f>IF($AB56="○",(VLOOKUP($CB56,参照データ!$D$65:$J$82,3,0)),"")</f>
        <v/>
      </c>
      <c r="CF56" s="71" t="str">
        <f t="shared" si="13"/>
        <v/>
      </c>
      <c r="CG56" s="70" t="str">
        <f>IF($AD56="○",(VLOOKUP($CB56,参照データ!$D$65:$J$82,4,0)),"")</f>
        <v/>
      </c>
      <c r="CH56" s="71" t="str">
        <f t="shared" si="14"/>
        <v/>
      </c>
      <c r="CI56" s="70" t="str">
        <f>IF($AF56="○",(VLOOKUP($CB56,参照データ!$D$65:$J$82,5,0)),"")</f>
        <v/>
      </c>
      <c r="CJ56" s="71" t="str">
        <f t="shared" si="5"/>
        <v/>
      </c>
      <c r="CK56" s="70" t="str">
        <f>IF($AH56="○",(VLOOKUP($CB56,参照データ!$D$65:$J$82,6,0)),"")</f>
        <v/>
      </c>
      <c r="CL56" s="71" t="str">
        <f t="shared" si="15"/>
        <v/>
      </c>
      <c r="CM56" s="33" t="str">
        <f t="shared" si="16"/>
        <v/>
      </c>
      <c r="CN56" s="32" t="str">
        <f t="shared" si="17"/>
        <v/>
      </c>
      <c r="CO56" s="71" t="str">
        <f t="shared" si="18"/>
        <v/>
      </c>
      <c r="CP56" s="681">
        <v>23</v>
      </c>
      <c r="CQ56" s="79" t="s">
        <v>129</v>
      </c>
      <c r="CR56" s="80" t="str">
        <f t="shared" si="19"/>
        <v/>
      </c>
      <c r="CS56" s="683" t="e">
        <f>IF($CR56&gt;$CR57,VLOOKUP($CR56,参照データ!$D$65:$J$82,7,0),VLOOKUP($CR57,参照データ!$D$65:$J$82,7,0))</f>
        <v>#N/A</v>
      </c>
      <c r="CT56" s="308" t="str">
        <f>IFERROR(VLOOKUP($CS56,参照データ!$J$65:$M$82,4,0),"")</f>
        <v/>
      </c>
      <c r="CU56" s="70"/>
      <c r="CV56" s="172" t="str">
        <f t="shared" si="20"/>
        <v/>
      </c>
      <c r="CX56" s="32"/>
      <c r="CY56" s="161" t="str">
        <f t="shared" si="21"/>
        <v/>
      </c>
      <c r="CZ56" s="743">
        <v>23</v>
      </c>
      <c r="DA56" s="166" t="s">
        <v>129</v>
      </c>
      <c r="DB56" s="167" t="str">
        <f t="shared" si="42"/>
        <v/>
      </c>
      <c r="DC56" s="741" t="str">
        <f>IF(OR(DB56="",DB57=""),"",IF(DB56&gt;DB57,DB56,DB57))</f>
        <v/>
      </c>
      <c r="DD56" t="str">
        <f>IF($DE56="","",DATEDIF($AW56,参照データ!$D$19,"Y"))</f>
        <v/>
      </c>
      <c r="DE56" s="253" t="str">
        <f>IFERROR(IF($AX56="男子",VLOOKUP($DL56,参照データ!$D$88:$E$117,2,0),$DL56),0)</f>
        <v/>
      </c>
      <c r="DF56" s="84" t="str">
        <f>IF($Z56="選手権",(VLOOKUP($DE56,参照データ!$D$88:$K$117,3,0)),"")</f>
        <v/>
      </c>
      <c r="DG56" s="85" t="str">
        <f t="shared" si="6"/>
        <v/>
      </c>
      <c r="DH56" s="84" t="str">
        <f>IF($AB56="選手権",(VLOOKUP($DE56,参照データ!$D$88:$K$117,4,0)),"")</f>
        <v/>
      </c>
      <c r="DI56" s="85" t="str">
        <f t="shared" si="7"/>
        <v/>
      </c>
      <c r="DJ56" s="84" t="str">
        <f>IF($AD56="選手権",(VLOOKUP($DE56,参照データ!$D$88:$K$117,5,0)),"")</f>
        <v/>
      </c>
      <c r="DK56" s="85" t="str">
        <f t="shared" si="8"/>
        <v/>
      </c>
      <c r="DL56" s="53" t="str">
        <f>IF(AND($AW56&gt;=参照データ!$C$90,$AW56&lt;=参照データ!$C$88),1,IF(AND($AW56&gt;=参照データ!$C$93,$AW56&lt;=参照データ!$C$91),2,IF(AND($AW56&gt;=参照データ!$C$99,$AW56&lt;=参照データ!$C$97),3,IF(AND($AW56&gt;=参照データ!$C$105,$AW56&lt;=参照データ!$C$103),4,IF(AND($AW56&gt;=参照データ!$C$111,$AW56&lt;=参照データ!$C$109),5,IF(AND($AW56&gt;0,$AW56&lt;=参照データ!$C$112),6,""))))))</f>
        <v/>
      </c>
      <c r="DM56" s="84" t="str">
        <f>IF($AF56="選手権",(VLOOKUP($DL56,参照データ!$D$88:$K$117,6,0)),"")</f>
        <v/>
      </c>
      <c r="DN56" s="85" t="str">
        <f t="shared" si="9"/>
        <v/>
      </c>
      <c r="DO56" s="84" t="str">
        <f>IF($AH56="選手権",(VLOOKUP($DL56,参照データ!$D$88:$K$117,7,0)),"")</f>
        <v/>
      </c>
      <c r="DP56" s="85" t="str">
        <f t="shared" si="22"/>
        <v/>
      </c>
      <c r="DQ56" s="33" t="str">
        <f t="shared" si="23"/>
        <v/>
      </c>
      <c r="DR56" s="32" t="str">
        <f t="shared" si="24"/>
        <v/>
      </c>
      <c r="DS56" s="85" t="str">
        <f t="shared" si="25"/>
        <v/>
      </c>
      <c r="DT56" s="736">
        <v>23</v>
      </c>
      <c r="DU56" s="93" t="s">
        <v>129</v>
      </c>
      <c r="DV56" s="94" t="str">
        <f t="shared" si="35"/>
        <v/>
      </c>
      <c r="DW56" s="737" t="e">
        <f>IF($DV56&gt;$DV57,VLOOKUP($DV56,参照データ!$D$88:$K$117,8,0),VLOOKUP($DV57,参照データ!$D$88:$K$117,8,0))</f>
        <v>#N/A</v>
      </c>
      <c r="DX56" s="312" t="str">
        <f>IFERROR(VLOOKUP($DW56,参照データ!$K$88:$O$117,5,0),"")</f>
        <v/>
      </c>
      <c r="DZ56" s="491" t="str">
        <f t="shared" si="26"/>
        <v/>
      </c>
      <c r="EE56" s="35">
        <f>(COUNTIF($J56:$O56,"&lt;&gt;"))*参照データ!$E$3</f>
        <v>0</v>
      </c>
      <c r="EF56" s="219" t="str">
        <f>IF($Y56="○",参照データ!$E$4,"")</f>
        <v/>
      </c>
      <c r="EG56" s="18">
        <f>(SUM(COUNTIF($R56:$V56,{"入門","初級"}))*参照データ!$E$9)+(SUM(COUNTIF($R56:$V56,{"中級","上級"})*参照データ!$E$10))</f>
        <v>0</v>
      </c>
      <c r="EH56" s="18">
        <f>IFERROR(VLOOKUP($W56,参照データ!$D$9:$J$11,7,0),0)</f>
        <v>0</v>
      </c>
      <c r="EI56" s="18">
        <f>((COUNTIF($Z56:$AH56,"○"))*参照データ!$E$12)</f>
        <v>0</v>
      </c>
      <c r="EJ56" s="18" t="str">
        <f>(IF($AJ56="○",参照データ!$J$12,""))</f>
        <v/>
      </c>
      <c r="EM56" s="18">
        <f>((COUNTIF($Z56:$AH56,"選手権"))*参照データ!$E$13)</f>
        <v>0</v>
      </c>
      <c r="EN56" s="18" t="str">
        <f>(IF($AJ56="選手権",参照データ!$J$13,""))</f>
        <v/>
      </c>
      <c r="EO56" s="18">
        <f>(COUNTIF($AQ56:$AR56,"&lt;&gt;"))*参照データ!$H$3</f>
        <v>0</v>
      </c>
      <c r="EP56" s="18"/>
      <c r="EQ56" s="98">
        <f t="array" ref="EQ56">SUM(IF(ISERROR(EE56:EN56),0,(EE56:EN56)))</f>
        <v>0</v>
      </c>
      <c r="ER56" s="18"/>
      <c r="ES56" s="18">
        <f t="shared" si="10"/>
        <v>0</v>
      </c>
      <c r="ET56" s="18">
        <f t="shared" si="36"/>
        <v>0</v>
      </c>
      <c r="EU56" s="18">
        <f t="shared" si="27"/>
        <v>0</v>
      </c>
      <c r="EV56" s="18">
        <f t="shared" si="28"/>
        <v>0</v>
      </c>
      <c r="EW56" s="18">
        <f t="shared" si="29"/>
        <v>0</v>
      </c>
      <c r="EX56" s="18">
        <f t="shared" si="30"/>
        <v>0</v>
      </c>
      <c r="EY56" t="str">
        <f t="shared" si="31"/>
        <v/>
      </c>
    </row>
    <row r="57" spans="1:155" ht="18.75" customHeight="1" x14ac:dyDescent="0.2">
      <c r="A57">
        <v>46</v>
      </c>
      <c r="B57" s="14" t="str">
        <f>IF(D57="","",IF(D57="重複","",COUNTIF(B$12:$B56,"&gt;0")+1))</f>
        <v/>
      </c>
      <c r="C57" s="464"/>
      <c r="D57" s="177"/>
      <c r="E57" s="177"/>
      <c r="F57" s="31"/>
      <c r="G57" s="41"/>
      <c r="H57" s="351">
        <f t="shared" si="32"/>
        <v>0</v>
      </c>
      <c r="I57" s="193" t="str">
        <f>IF($AW57=0,"",DATEDIF($AW57,参照データ!$D$16,"Y"))</f>
        <v/>
      </c>
      <c r="J57" s="517"/>
      <c r="K57" s="517"/>
      <c r="L57" s="517"/>
      <c r="M57" s="517"/>
      <c r="N57" s="517"/>
      <c r="O57" s="518"/>
      <c r="P57" s="345"/>
      <c r="Q57" s="345"/>
      <c r="R57" s="519"/>
      <c r="S57" s="244"/>
      <c r="T57" s="244"/>
      <c r="U57" s="244"/>
      <c r="V57" s="245"/>
      <c r="W57" s="248"/>
      <c r="X57" s="250"/>
      <c r="Y57" s="345"/>
      <c r="Z57" s="388"/>
      <c r="AA57" s="346" t="str">
        <f>IF($Z57="○",VLOOKUP($CB57,参照データ!$D$65:$M$82,9,0),IF($Z57="選手権",VLOOKUP($DE57,参照データ!$D$88:$O$117,10,0),""))</f>
        <v/>
      </c>
      <c r="AB57" s="388"/>
      <c r="AC57" s="346" t="str">
        <f>IF($AB57="○",VLOOKUP($CB57,参照データ!$D$65:$M$82,10,0),IF($AB57="選手権",VLOOKUP($DE57,参照データ!$D$88:$O$117,11,0),""))</f>
        <v/>
      </c>
      <c r="AD57" s="388"/>
      <c r="AE57" s="346" t="str">
        <f>IF($AD57="○",VLOOKUP($CB57,参照データ!$D$65:$M$82,10,0),IF($AD57="選手権",VLOOKUP($DE57,参照データ!$D$88:$O$117,11,0),""))</f>
        <v/>
      </c>
      <c r="AF57" s="388"/>
      <c r="AG57" s="346" t="str">
        <f>IF($AF57="○",VLOOKUP($CB57,参照データ!$D$65:$M$82,10,0),IF($AF57="選手権",VLOOKUP($DL57,参照データ!$D$88:$O$117,12,0),""))</f>
        <v/>
      </c>
      <c r="AH57" s="388"/>
      <c r="AI57" s="346" t="str">
        <f>IF($AH57="○",VLOOKUP($CB57,参照データ!$D$65:$M$82,10,0),IF($AH57="選手権",VLOOKUP($DL57,参照データ!$D$88:$O$117,12,0),""))</f>
        <v/>
      </c>
      <c r="AJ57" s="388"/>
      <c r="AK57" s="511"/>
      <c r="AL57" s="346" t="str">
        <f t="shared" si="3"/>
        <v/>
      </c>
      <c r="AM57" s="392"/>
      <c r="AN57" s="391"/>
      <c r="AO57" s="391"/>
      <c r="AP57" s="447"/>
      <c r="AQ57" s="321"/>
      <c r="AR57" s="481"/>
      <c r="AS57" s="393"/>
      <c r="AT57" s="483"/>
      <c r="AW57">
        <f t="shared" si="45"/>
        <v>0</v>
      </c>
      <c r="AX57" t="str">
        <f t="shared" si="33"/>
        <v/>
      </c>
      <c r="AY57" s="132"/>
      <c r="BA57" s="513" t="str">
        <f>IF(団体情報・入力の仕方!$C$3&lt;&gt;"大田区大会","",IF(AW57=0,"",IF(I57&gt;=18,"○","")))</f>
        <v/>
      </c>
      <c r="BB57" s="53" t="str">
        <f>IF($AW57=0,"",IF(AND($I57&gt;=6,$I57&lt;=19),VLOOKUP($I57,参照データ!$B$24:$C$37,2,0),IF($I57&lt;6,6,19)))</f>
        <v/>
      </c>
      <c r="BC57" s="155" t="str">
        <f>IF($J57="○",VLOOKUP($BB57,参照データ!$C$24:$I$37,2,0),"")</f>
        <v/>
      </c>
      <c r="BD57" s="146" t="str">
        <f>IF($K57="○",VLOOKUP($BB57,参照データ!$C$24:$I$37,3,0),"")</f>
        <v/>
      </c>
      <c r="BE57" s="146" t="str">
        <f>IF($L57="○",VLOOKUP($BB57,参照データ!$C$24:$I$37,4,0),"")</f>
        <v/>
      </c>
      <c r="BF57" s="146" t="str">
        <f>IF($M57="○",VLOOKUP($BB57,参照データ!$C$24:$I$37,5,0),"")</f>
        <v/>
      </c>
      <c r="BG57" s="146" t="str">
        <f>IF($N57="20日",VLOOKUP($BB57,参照データ!$C$24:$I$37,6,0),"")</f>
        <v/>
      </c>
      <c r="BH57" s="156" t="str">
        <f>IF($O57="20日",VLOOKUP($BB57,参照データ!$C$24:$I$37,7,0),"")</f>
        <v/>
      </c>
      <c r="BI57" s="155" t="str">
        <f>IF($J57="21日",VLOOKUP($BB57,参照データ!$C$24:$I$37,2,0),"")</f>
        <v/>
      </c>
      <c r="BJ57" s="146" t="str">
        <f>IF($K57="21日",VLOOKUP($BB57,参照データ!$C$24:$I$37,3,0),"")</f>
        <v/>
      </c>
      <c r="BK57" s="146" t="str">
        <f>IF($L57="21日",VLOOKUP($BB57,参照データ!$C$24:$I$37,4,0),"")</f>
        <v/>
      </c>
      <c r="BL57" s="146" t="str">
        <f>IF($M57="21日",VLOOKUP($BB57,参照データ!$C$24:$I$37,5,0),"")</f>
        <v/>
      </c>
      <c r="BM57" s="146" t="str">
        <f>IF($N57="21日",VLOOKUP($BB57,参照データ!$C$24:$I$37,6,0),"")</f>
        <v/>
      </c>
      <c r="BN57" s="156" t="str">
        <f>IF($O57="21日",VLOOKUP($BB57,参照データ!$C$24:$I$37,7,0),"")</f>
        <v/>
      </c>
      <c r="BO57" s="223" t="str">
        <f t="shared" si="40"/>
        <v/>
      </c>
      <c r="BP57" s="154" t="str">
        <f>IF($R57="入門",VLOOKUP($BB57,参照データ!$C$43:$U$56,2,0),IF($R57="初級",VLOOKUP($BB57,参照データ!$C$43:$U$56,3,0),IF($R57="中級",VLOOKUP($BB57,参照データ!$C$43:$U$56,4,0),IF($R57="上級",VLOOKUP($BB57,参照データ!$C$43:$U$56,5,0),""))))</f>
        <v/>
      </c>
      <c r="BQ57" s="154" t="str">
        <f>IF($S57="初級",VLOOKUP($BB57,参照データ!$C$43:$U$56,6,0),IF($S57="中級",VLOOKUP($BB57,参照データ!$C$43:$U$56,7,0),IF($S57="上級",VLOOKUP($BB57,参照データ!$C$43:$U$56,8,0),"")))</f>
        <v/>
      </c>
      <c r="BR57" s="154" t="str">
        <f>IF($T57="初級",VLOOKUP($BB57,参照データ!$C$43:$U$56,9,0),IF($T57="上級",VLOOKUP($BB57,参照データ!$C$43:$U$56,10,0),""))</f>
        <v/>
      </c>
      <c r="BS57" s="154" t="str">
        <f>IF($U57="初級",VLOOKUP($BB57,参照データ!$C$43:$U$56,11,0),IF($U57="中級",VLOOKUP($BB57,参照データ!$C$43:$U$56,12,0),IF($U57="上級",VLOOKUP($BB57,参照データ!$C$43:$U$56,13,0),"")))</f>
        <v/>
      </c>
      <c r="BT57" s="154" t="str">
        <f>IF($V57="初級",VLOOKUP($BB57,参照データ!$C$43:$U$56,14,0),IF($V57="中級",VLOOKUP($BB57,参照データ!$C$43:$U$56,15,0),IF($V57="上級",VLOOKUP($BB57,参照データ!$C$43:$U$56,16,0),"")))</f>
        <v/>
      </c>
      <c r="BU57" s="47" t="str">
        <f t="shared" si="4"/>
        <v/>
      </c>
      <c r="BV57" s="47" t="str">
        <f>IF($W57="初級",VLOOKUP($BB57,参照データ!$C$43:$U$56,17,0),IF($W57="中級",VLOOKUP($BB57,参照データ!$C$43:$U$56,18,0),IF($W57="上級",VLOOKUP($BB57,参照データ!$C$43:$U$56,19,0),"")))</f>
        <v/>
      </c>
      <c r="BW57" s="687"/>
      <c r="BX57" s="65" t="s">
        <v>130</v>
      </c>
      <c r="BY57" s="135" t="str">
        <f t="shared" si="11"/>
        <v/>
      </c>
      <c r="BZ57" s="689"/>
      <c r="CB57" s="53" t="str">
        <f>IF(AND($AW57&gt;=参照データ!$C$67,$AW57&lt;=参照データ!$C$65),1,IF(AND($AW57&gt;=参照データ!$C$70,$AW57&lt;=参照データ!$C$68),2,IF(AND($AW57&gt;=参照データ!$C$73,$AW57&lt;=参照データ!$C$71),3,IF(AND($AW57&gt;=参照データ!$C$76,$AW57&lt;=参照データ!$C$74),4,IF(AND($AW57&gt;=参照データ!$C$79,$AW57&lt;=参照データ!$C$77),5,IF(AND($AW57&gt;0,$AW57&lt;=参照データ!$C$80),6,""))))))</f>
        <v/>
      </c>
      <c r="CC57" s="141" t="str">
        <f>IF($Z57="○",(VLOOKUP($CB57,参照データ!$D$65:$J$82,2,0)),"")</f>
        <v/>
      </c>
      <c r="CD57" s="71" t="str">
        <f t="shared" si="12"/>
        <v/>
      </c>
      <c r="CE57" s="70" t="str">
        <f>IF($AB57="○",(VLOOKUP($CB57,参照データ!$D$65:$J$82,3,0)),"")</f>
        <v/>
      </c>
      <c r="CF57" s="71" t="str">
        <f t="shared" si="13"/>
        <v/>
      </c>
      <c r="CG57" s="70" t="str">
        <f>IF($AD57="○",(VLOOKUP($CB57,参照データ!$D$65:$J$82,4,0)),"")</f>
        <v/>
      </c>
      <c r="CH57" s="71" t="str">
        <f t="shared" si="14"/>
        <v/>
      </c>
      <c r="CI57" s="70" t="str">
        <f>IF($AF57="○",(VLOOKUP($CB57,参照データ!$D$65:$J$82,5,0)),"")</f>
        <v/>
      </c>
      <c r="CJ57" s="71" t="str">
        <f t="shared" si="5"/>
        <v/>
      </c>
      <c r="CK57" s="70" t="str">
        <f>IF($AH57="○",(VLOOKUP($CB57,参照データ!$D$65:$J$82,6,0)),"")</f>
        <v/>
      </c>
      <c r="CL57" s="71" t="str">
        <f t="shared" si="15"/>
        <v/>
      </c>
      <c r="CM57" s="33" t="str">
        <f t="shared" si="16"/>
        <v/>
      </c>
      <c r="CN57" s="32" t="str">
        <f t="shared" si="17"/>
        <v/>
      </c>
      <c r="CO57" s="71" t="str">
        <f t="shared" si="18"/>
        <v/>
      </c>
      <c r="CP57" s="682"/>
      <c r="CQ57" s="77" t="s">
        <v>130</v>
      </c>
      <c r="CR57" s="78" t="str">
        <f t="shared" si="19"/>
        <v/>
      </c>
      <c r="CS57" s="684"/>
      <c r="CT57" s="308" t="str">
        <f t="shared" ref="CT57" si="103">$CT56</f>
        <v/>
      </c>
      <c r="CU57" s="70"/>
      <c r="CV57" s="172" t="str">
        <f t="shared" si="20"/>
        <v/>
      </c>
      <c r="CX57" s="32"/>
      <c r="CY57" s="161" t="str">
        <f t="shared" si="21"/>
        <v/>
      </c>
      <c r="CZ57" s="744"/>
      <c r="DA57" s="164" t="s">
        <v>130</v>
      </c>
      <c r="DB57" s="165" t="str">
        <f t="shared" si="42"/>
        <v/>
      </c>
      <c r="DC57" s="742"/>
      <c r="DD57" t="str">
        <f>IF($DE57="","",DATEDIF($AW57,参照データ!$D$19,"Y"))</f>
        <v/>
      </c>
      <c r="DE57" s="253" t="str">
        <f>IFERROR(IF($AX57="男子",VLOOKUP($DL57,参照データ!$D$88:$E$117,2,0),$DL57),0)</f>
        <v/>
      </c>
      <c r="DF57" s="84" t="str">
        <f>IF($Z57="選手権",(VLOOKUP($DE57,参照データ!$D$88:$K$117,3,0)),"")</f>
        <v/>
      </c>
      <c r="DG57" s="85" t="str">
        <f t="shared" si="6"/>
        <v/>
      </c>
      <c r="DH57" s="84" t="str">
        <f>IF($AB57="選手権",(VLOOKUP($DE57,参照データ!$D$88:$K$117,4,0)),"")</f>
        <v/>
      </c>
      <c r="DI57" s="85" t="str">
        <f t="shared" si="7"/>
        <v/>
      </c>
      <c r="DJ57" s="84" t="str">
        <f>IF($AD57="選手権",(VLOOKUP($DE57,参照データ!$D$88:$K$117,5,0)),"")</f>
        <v/>
      </c>
      <c r="DK57" s="85" t="str">
        <f t="shared" si="8"/>
        <v/>
      </c>
      <c r="DL57" s="53" t="str">
        <f>IF(AND($AW57&gt;=参照データ!$C$90,$AW57&lt;=参照データ!$C$88),1,IF(AND($AW57&gt;=参照データ!$C$93,$AW57&lt;=参照データ!$C$91),2,IF(AND($AW57&gt;=参照データ!$C$99,$AW57&lt;=参照データ!$C$97),3,IF(AND($AW57&gt;=参照データ!$C$105,$AW57&lt;=参照データ!$C$103),4,IF(AND($AW57&gt;=参照データ!$C$111,$AW57&lt;=参照データ!$C$109),5,IF(AND($AW57&gt;0,$AW57&lt;=参照データ!$C$112),6,""))))))</f>
        <v/>
      </c>
      <c r="DM57" s="84" t="str">
        <f>IF($AF57="選手権",(VLOOKUP($DL57,参照データ!$D$88:$K$117,6,0)),"")</f>
        <v/>
      </c>
      <c r="DN57" s="85" t="str">
        <f t="shared" si="9"/>
        <v/>
      </c>
      <c r="DO57" s="84" t="str">
        <f>IF($AH57="選手権",(VLOOKUP($DL57,参照データ!$D$88:$K$117,7,0)),"")</f>
        <v/>
      </c>
      <c r="DP57" s="85" t="str">
        <f t="shared" si="22"/>
        <v/>
      </c>
      <c r="DQ57" s="33" t="str">
        <f t="shared" si="23"/>
        <v/>
      </c>
      <c r="DR57" s="32" t="str">
        <f t="shared" si="24"/>
        <v/>
      </c>
      <c r="DS57" s="85" t="str">
        <f t="shared" si="25"/>
        <v/>
      </c>
      <c r="DT57" s="733"/>
      <c r="DU57" s="91" t="s">
        <v>130</v>
      </c>
      <c r="DV57" s="92" t="str">
        <f t="shared" si="35"/>
        <v/>
      </c>
      <c r="DW57" s="735"/>
      <c r="DX57" s="312" t="str">
        <f t="shared" ref="DX57" si="104">$DX56</f>
        <v/>
      </c>
      <c r="DZ57" s="491" t="str">
        <f t="shared" si="26"/>
        <v/>
      </c>
      <c r="EE57" s="35">
        <f>(COUNTIF($J57:$O57,"&lt;&gt;"))*参照データ!$E$3</f>
        <v>0</v>
      </c>
      <c r="EF57" s="219" t="str">
        <f>IF($Y57="○",参照データ!$E$4,"")</f>
        <v/>
      </c>
      <c r="EG57" s="18">
        <f>(SUM(COUNTIF($R57:$V57,{"入門","初級"}))*参照データ!$E$9)+(SUM(COUNTIF($R57:$V57,{"中級","上級"})*参照データ!$E$10))</f>
        <v>0</v>
      </c>
      <c r="EH57" s="18">
        <f>IFERROR(VLOOKUP($W57,参照データ!$D$9:$J$11,7,0),0)</f>
        <v>0</v>
      </c>
      <c r="EI57" s="18">
        <f>((COUNTIF($Z57:$AH57,"○"))*参照データ!$E$12)</f>
        <v>0</v>
      </c>
      <c r="EJ57" s="18" t="str">
        <f>(IF($AJ57="○",参照データ!$J$12,""))</f>
        <v/>
      </c>
      <c r="EM57" s="18">
        <f>((COUNTIF($Z57:$AH57,"選手権"))*参照データ!$E$13)</f>
        <v>0</v>
      </c>
      <c r="EN57" s="18" t="str">
        <f>(IF($AJ57="選手権",参照データ!$J$13,""))</f>
        <v/>
      </c>
      <c r="EO57" s="18">
        <f>(COUNTIF($AQ57:$AR57,"&lt;&gt;"))*参照データ!$H$3</f>
        <v>0</v>
      </c>
      <c r="EP57" s="18"/>
      <c r="EQ57" s="98">
        <f t="array" ref="EQ57">SUM(IF(ISERROR(EE57:EN57),0,(EE57:EN57)))</f>
        <v>0</v>
      </c>
      <c r="ER57" s="18"/>
      <c r="ES57" s="18">
        <f t="shared" si="10"/>
        <v>0</v>
      </c>
      <c r="ET57" s="18">
        <f t="shared" si="36"/>
        <v>0</v>
      </c>
      <c r="EU57" s="18">
        <f t="shared" si="27"/>
        <v>0</v>
      </c>
      <c r="EV57" s="18">
        <f t="shared" si="28"/>
        <v>0</v>
      </c>
      <c r="EW57" s="18">
        <f t="shared" si="29"/>
        <v>0</v>
      </c>
      <c r="EX57" s="18">
        <f t="shared" si="30"/>
        <v>0</v>
      </c>
      <c r="EY57" t="str">
        <f t="shared" si="31"/>
        <v/>
      </c>
    </row>
    <row r="58" spans="1:155" ht="18.75" customHeight="1" x14ac:dyDescent="0.2">
      <c r="A58">
        <v>47</v>
      </c>
      <c r="B58" s="14" t="str">
        <f>IF(D58="","",IF(D58="重複","",COUNTIF(B$12:$B57,"&gt;0")+1))</f>
        <v/>
      </c>
      <c r="C58" s="464"/>
      <c r="D58" s="177"/>
      <c r="E58" s="177"/>
      <c r="F58" s="31"/>
      <c r="G58" s="41"/>
      <c r="H58" s="351">
        <f t="shared" si="32"/>
        <v>0</v>
      </c>
      <c r="I58" s="193" t="str">
        <f>IF($AW58=0,"",DATEDIF($AW58,参照データ!$D$16,"Y"))</f>
        <v/>
      </c>
      <c r="J58" s="517"/>
      <c r="K58" s="517"/>
      <c r="L58" s="517"/>
      <c r="M58" s="517"/>
      <c r="N58" s="517"/>
      <c r="O58" s="518"/>
      <c r="P58" s="345"/>
      <c r="Q58" s="345"/>
      <c r="R58" s="519"/>
      <c r="S58" s="244"/>
      <c r="T58" s="244"/>
      <c r="U58" s="244"/>
      <c r="V58" s="245"/>
      <c r="W58" s="248"/>
      <c r="X58" s="250"/>
      <c r="Y58" s="345"/>
      <c r="Z58" s="388"/>
      <c r="AA58" s="346" t="str">
        <f>IF($Z58="○",VLOOKUP($CB58,参照データ!$D$65:$M$82,9,0),IF($Z58="選手権",VLOOKUP($DE58,参照データ!$D$88:$O$117,10,0),""))</f>
        <v/>
      </c>
      <c r="AB58" s="388"/>
      <c r="AC58" s="346" t="str">
        <f>IF($AB58="○",VLOOKUP($CB58,参照データ!$D$65:$M$82,10,0),IF($AB58="選手権",VLOOKUP($DE58,参照データ!$D$88:$O$117,11,0),""))</f>
        <v/>
      </c>
      <c r="AD58" s="388"/>
      <c r="AE58" s="346" t="str">
        <f>IF($AD58="○",VLOOKUP($CB58,参照データ!$D$65:$M$82,10,0),IF($AD58="選手権",VLOOKUP($DE58,参照データ!$D$88:$O$117,11,0),""))</f>
        <v/>
      </c>
      <c r="AF58" s="388"/>
      <c r="AG58" s="346" t="str">
        <f>IF($AF58="○",VLOOKUP($CB58,参照データ!$D$65:$M$82,10,0),IF($AF58="選手権",VLOOKUP($DL58,参照データ!$D$88:$O$117,12,0),""))</f>
        <v/>
      </c>
      <c r="AH58" s="388"/>
      <c r="AI58" s="346" t="str">
        <f>IF($AH58="○",VLOOKUP($CB58,参照データ!$D$65:$M$82,10,0),IF($AH58="選手権",VLOOKUP($DL58,参照データ!$D$88:$O$117,12,0),""))</f>
        <v/>
      </c>
      <c r="AJ58" s="388"/>
      <c r="AK58" s="511"/>
      <c r="AL58" s="346" t="str">
        <f t="shared" si="3"/>
        <v/>
      </c>
      <c r="AM58" s="392"/>
      <c r="AN58" s="391"/>
      <c r="AO58" s="391"/>
      <c r="AP58" s="447"/>
      <c r="AQ58" s="321"/>
      <c r="AR58" s="481"/>
      <c r="AS58" s="393"/>
      <c r="AT58" s="483"/>
      <c r="AW58">
        <f t="shared" si="45"/>
        <v>0</v>
      </c>
      <c r="AX58" t="str">
        <f t="shared" si="33"/>
        <v/>
      </c>
      <c r="AY58" s="132"/>
      <c r="BA58" s="513" t="str">
        <f>IF(団体情報・入力の仕方!$C$3&lt;&gt;"大田区大会","",IF(AW58=0,"",IF(I58&gt;=18,"○","")))</f>
        <v/>
      </c>
      <c r="BB58" s="53" t="str">
        <f>IF($AW58=0,"",IF(AND($I58&gt;=6,$I58&lt;=19),VLOOKUP($I58,参照データ!$B$24:$C$37,2,0),IF($I58&lt;6,6,19)))</f>
        <v/>
      </c>
      <c r="BC58" s="155" t="str">
        <f>IF($J58="○",VLOOKUP($BB58,参照データ!$C$24:$I$37,2,0),"")</f>
        <v/>
      </c>
      <c r="BD58" s="146" t="str">
        <f>IF($K58="○",VLOOKUP($BB58,参照データ!$C$24:$I$37,3,0),"")</f>
        <v/>
      </c>
      <c r="BE58" s="146" t="str">
        <f>IF($L58="○",VLOOKUP($BB58,参照データ!$C$24:$I$37,4,0),"")</f>
        <v/>
      </c>
      <c r="BF58" s="146" t="str">
        <f>IF($M58="○",VLOOKUP($BB58,参照データ!$C$24:$I$37,5,0),"")</f>
        <v/>
      </c>
      <c r="BG58" s="146" t="str">
        <f>IF($N58="20日",VLOOKUP($BB58,参照データ!$C$24:$I$37,6,0),"")</f>
        <v/>
      </c>
      <c r="BH58" s="156" t="str">
        <f>IF($O58="20日",VLOOKUP($BB58,参照データ!$C$24:$I$37,7,0),"")</f>
        <v/>
      </c>
      <c r="BI58" s="155" t="str">
        <f>IF($J58="21日",VLOOKUP($BB58,参照データ!$C$24:$I$37,2,0),"")</f>
        <v/>
      </c>
      <c r="BJ58" s="146" t="str">
        <f>IF($K58="21日",VLOOKUP($BB58,参照データ!$C$24:$I$37,3,0),"")</f>
        <v/>
      </c>
      <c r="BK58" s="146" t="str">
        <f>IF($L58="21日",VLOOKUP($BB58,参照データ!$C$24:$I$37,4,0),"")</f>
        <v/>
      </c>
      <c r="BL58" s="146" t="str">
        <f>IF($M58="21日",VLOOKUP($BB58,参照データ!$C$24:$I$37,5,0),"")</f>
        <v/>
      </c>
      <c r="BM58" s="146" t="str">
        <f>IF($N58="21日",VLOOKUP($BB58,参照データ!$C$24:$I$37,6,0),"")</f>
        <v/>
      </c>
      <c r="BN58" s="156" t="str">
        <f>IF($O58="21日",VLOOKUP($BB58,参照データ!$C$24:$I$37,7,0),"")</f>
        <v/>
      </c>
      <c r="BO58" s="223" t="str">
        <f t="shared" si="40"/>
        <v/>
      </c>
      <c r="BP58" s="154" t="str">
        <f>IF($R58="入門",VLOOKUP($BB58,参照データ!$C$43:$U$56,2,0),IF($R58="初級",VLOOKUP($BB58,参照データ!$C$43:$U$56,3,0),IF($R58="中級",VLOOKUP($BB58,参照データ!$C$43:$U$56,4,0),IF($R58="上級",VLOOKUP($BB58,参照データ!$C$43:$U$56,5,0),""))))</f>
        <v/>
      </c>
      <c r="BQ58" s="154" t="str">
        <f>IF($S58="初級",VLOOKUP($BB58,参照データ!$C$43:$U$56,6,0),IF($S58="中級",VLOOKUP($BB58,参照データ!$C$43:$U$56,7,0),IF($S58="上級",VLOOKUP($BB58,参照データ!$C$43:$U$56,8,0),"")))</f>
        <v/>
      </c>
      <c r="BR58" s="154" t="str">
        <f>IF($T58="初級",VLOOKUP($BB58,参照データ!$C$43:$U$56,9,0),IF($T58="上級",VLOOKUP($BB58,参照データ!$C$43:$U$56,10,0),""))</f>
        <v/>
      </c>
      <c r="BS58" s="154" t="str">
        <f>IF($U58="初級",VLOOKUP($BB58,参照データ!$C$43:$U$56,11,0),IF($U58="中級",VLOOKUP($BB58,参照データ!$C$43:$U$56,12,0),IF($U58="上級",VLOOKUP($BB58,参照データ!$C$43:$U$56,13,0),"")))</f>
        <v/>
      </c>
      <c r="BT58" s="154" t="str">
        <f>IF($V58="初級",VLOOKUP($BB58,参照データ!$C$43:$U$56,14,0),IF($V58="中級",VLOOKUP($BB58,参照データ!$C$43:$U$56,15,0),IF($V58="上級",VLOOKUP($BB58,参照データ!$C$43:$U$56,16,0),"")))</f>
        <v/>
      </c>
      <c r="BU58" s="47" t="str">
        <f t="shared" si="4"/>
        <v/>
      </c>
      <c r="BV58" s="47" t="str">
        <f>IF($W58="初級",VLOOKUP($BB58,参照データ!$C$43:$U$56,17,0),IF($W58="中級",VLOOKUP($BB58,参照データ!$C$43:$U$56,18,0),IF($W58="上級",VLOOKUP($BB58,参照データ!$C$43:$U$56,19,0),"")))</f>
        <v/>
      </c>
      <c r="BW58" s="686">
        <v>24</v>
      </c>
      <c r="BX58" s="66" t="s">
        <v>131</v>
      </c>
      <c r="BY58" s="136" t="str">
        <f t="shared" si="11"/>
        <v/>
      </c>
      <c r="BZ58" s="688" t="str">
        <f t="shared" ref="BZ58" si="105">IF(OR($BY58="",$BY59=""),"",IF($BY58&gt;$BY59,$BY58,$BY59))</f>
        <v/>
      </c>
      <c r="CB58" s="53" t="str">
        <f>IF(AND($AW58&gt;=参照データ!$C$67,$AW58&lt;=参照データ!$C$65),1,IF(AND($AW58&gt;=参照データ!$C$70,$AW58&lt;=参照データ!$C$68),2,IF(AND($AW58&gt;=参照データ!$C$73,$AW58&lt;=参照データ!$C$71),3,IF(AND($AW58&gt;=参照データ!$C$76,$AW58&lt;=参照データ!$C$74),4,IF(AND($AW58&gt;=参照データ!$C$79,$AW58&lt;=参照データ!$C$77),5,IF(AND($AW58&gt;0,$AW58&lt;=参照データ!$C$80),6,""))))))</f>
        <v/>
      </c>
      <c r="CC58" s="141" t="str">
        <f>IF($Z58="○",(VLOOKUP($CB58,参照データ!$D$65:$J$82,2,0)),"")</f>
        <v/>
      </c>
      <c r="CD58" s="71" t="str">
        <f t="shared" si="12"/>
        <v/>
      </c>
      <c r="CE58" s="70" t="str">
        <f>IF($AB58="○",(VLOOKUP($CB58,参照データ!$D$65:$J$82,3,0)),"")</f>
        <v/>
      </c>
      <c r="CF58" s="71" t="str">
        <f t="shared" si="13"/>
        <v/>
      </c>
      <c r="CG58" s="70" t="str">
        <f>IF($AD58="○",(VLOOKUP($CB58,参照データ!$D$65:$J$82,4,0)),"")</f>
        <v/>
      </c>
      <c r="CH58" s="71" t="str">
        <f t="shared" si="14"/>
        <v/>
      </c>
      <c r="CI58" s="70" t="str">
        <f>IF($AF58="○",(VLOOKUP($CB58,参照データ!$D$65:$J$82,5,0)),"")</f>
        <v/>
      </c>
      <c r="CJ58" s="71" t="str">
        <f t="shared" si="5"/>
        <v/>
      </c>
      <c r="CK58" s="70" t="str">
        <f>IF($AH58="○",(VLOOKUP($CB58,参照データ!$D$65:$J$82,6,0)),"")</f>
        <v/>
      </c>
      <c r="CL58" s="71" t="str">
        <f t="shared" si="15"/>
        <v/>
      </c>
      <c r="CM58" s="33" t="str">
        <f t="shared" si="16"/>
        <v/>
      </c>
      <c r="CN58" s="32" t="str">
        <f t="shared" si="17"/>
        <v/>
      </c>
      <c r="CO58" s="71" t="str">
        <f t="shared" si="18"/>
        <v/>
      </c>
      <c r="CP58" s="681">
        <v>24</v>
      </c>
      <c r="CQ58" s="79" t="s">
        <v>131</v>
      </c>
      <c r="CR58" s="80" t="str">
        <f t="shared" si="19"/>
        <v/>
      </c>
      <c r="CS58" s="683" t="e">
        <f>IF($CR58&gt;$CR59,VLOOKUP($CR58,参照データ!$D$65:$J$82,7,0),VLOOKUP($CR59,参照データ!$D$65:$J$82,7,0))</f>
        <v>#N/A</v>
      </c>
      <c r="CT58" s="308" t="str">
        <f>IFERROR(VLOOKUP($CS58,参照データ!$J$65:$M$82,4,0),"")</f>
        <v/>
      </c>
      <c r="CU58" s="70"/>
      <c r="CV58" s="172" t="str">
        <f t="shared" si="20"/>
        <v/>
      </c>
      <c r="CX58" s="32"/>
      <c r="CY58" s="161" t="str">
        <f t="shared" si="21"/>
        <v/>
      </c>
      <c r="CZ58" s="743">
        <v>24</v>
      </c>
      <c r="DA58" s="166" t="s">
        <v>131</v>
      </c>
      <c r="DB58" s="167" t="str">
        <f t="shared" si="42"/>
        <v/>
      </c>
      <c r="DC58" s="741" t="str">
        <f>IF(OR(DB58="",DB59=""),"",IF(DB58&gt;DB59,DB58,DB59))</f>
        <v/>
      </c>
      <c r="DD58" t="str">
        <f>IF($DE58="","",DATEDIF($AW58,参照データ!$D$19,"Y"))</f>
        <v/>
      </c>
      <c r="DE58" s="253" t="str">
        <f>IFERROR(IF($AX58="男子",VLOOKUP($DL58,参照データ!$D$88:$E$117,2,0),$DL58),0)</f>
        <v/>
      </c>
      <c r="DF58" s="84" t="str">
        <f>IF($Z58="選手権",(VLOOKUP($DE58,参照データ!$D$88:$K$117,3,0)),"")</f>
        <v/>
      </c>
      <c r="DG58" s="85" t="str">
        <f t="shared" si="6"/>
        <v/>
      </c>
      <c r="DH58" s="84" t="str">
        <f>IF($AB58="選手権",(VLOOKUP($DE58,参照データ!$D$88:$K$117,4,0)),"")</f>
        <v/>
      </c>
      <c r="DI58" s="85" t="str">
        <f t="shared" si="7"/>
        <v/>
      </c>
      <c r="DJ58" s="84" t="str">
        <f>IF($AD58="選手権",(VLOOKUP($DE58,参照データ!$D$88:$K$117,5,0)),"")</f>
        <v/>
      </c>
      <c r="DK58" s="85" t="str">
        <f t="shared" si="8"/>
        <v/>
      </c>
      <c r="DL58" s="53" t="str">
        <f>IF(AND($AW58&gt;=参照データ!$C$90,$AW58&lt;=参照データ!$C$88),1,IF(AND($AW58&gt;=参照データ!$C$93,$AW58&lt;=参照データ!$C$91),2,IF(AND($AW58&gt;=参照データ!$C$99,$AW58&lt;=参照データ!$C$97),3,IF(AND($AW58&gt;=参照データ!$C$105,$AW58&lt;=参照データ!$C$103),4,IF(AND($AW58&gt;=参照データ!$C$111,$AW58&lt;=参照データ!$C$109),5,IF(AND($AW58&gt;0,$AW58&lt;=参照データ!$C$112),6,""))))))</f>
        <v/>
      </c>
      <c r="DM58" s="84" t="str">
        <f>IF($AF58="選手権",(VLOOKUP($DL58,参照データ!$D$88:$K$117,6,0)),"")</f>
        <v/>
      </c>
      <c r="DN58" s="85" t="str">
        <f t="shared" si="9"/>
        <v/>
      </c>
      <c r="DO58" s="84" t="str">
        <f>IF($AH58="選手権",(VLOOKUP($DL58,参照データ!$D$88:$K$117,7,0)),"")</f>
        <v/>
      </c>
      <c r="DP58" s="85" t="str">
        <f t="shared" si="22"/>
        <v/>
      </c>
      <c r="DQ58" s="33" t="str">
        <f t="shared" si="23"/>
        <v/>
      </c>
      <c r="DR58" s="32" t="str">
        <f t="shared" si="24"/>
        <v/>
      </c>
      <c r="DS58" s="85" t="str">
        <f t="shared" si="25"/>
        <v/>
      </c>
      <c r="DT58" s="736">
        <v>24</v>
      </c>
      <c r="DU58" s="93" t="s">
        <v>131</v>
      </c>
      <c r="DV58" s="94" t="str">
        <f t="shared" si="35"/>
        <v/>
      </c>
      <c r="DW58" s="737" t="e">
        <f>IF($DV58&gt;$DV59,VLOOKUP($DV58,参照データ!$D$88:$K$117,8,0),VLOOKUP($DV59,参照データ!$D$88:$K$117,8,0))</f>
        <v>#N/A</v>
      </c>
      <c r="DX58" s="312" t="str">
        <f>IFERROR(VLOOKUP($DW58,参照データ!$K$88:$O$117,5,0),"")</f>
        <v/>
      </c>
      <c r="DZ58" s="491" t="str">
        <f t="shared" si="26"/>
        <v/>
      </c>
      <c r="EE58" s="35">
        <f>(COUNTIF($J58:$O58,"&lt;&gt;"))*参照データ!$E$3</f>
        <v>0</v>
      </c>
      <c r="EF58" s="219" t="str">
        <f>IF($Y58="○",参照データ!$E$4,"")</f>
        <v/>
      </c>
      <c r="EG58" s="18">
        <f>(SUM(COUNTIF($R58:$V58,{"入門","初級"}))*参照データ!$E$9)+(SUM(COUNTIF($R58:$V58,{"中級","上級"})*参照データ!$E$10))</f>
        <v>0</v>
      </c>
      <c r="EH58" s="18">
        <f>IFERROR(VLOOKUP($W58,参照データ!$D$9:$J$11,7,0),0)</f>
        <v>0</v>
      </c>
      <c r="EI58" s="18">
        <f>((COUNTIF($Z58:$AH58,"○"))*参照データ!$E$12)</f>
        <v>0</v>
      </c>
      <c r="EJ58" s="18" t="str">
        <f>(IF($AJ58="○",参照データ!$J$12,""))</f>
        <v/>
      </c>
      <c r="EM58" s="18">
        <f>((COUNTIF($Z58:$AH58,"選手権"))*参照データ!$E$13)</f>
        <v>0</v>
      </c>
      <c r="EN58" s="18" t="str">
        <f>(IF($AJ58="選手権",参照データ!$J$13,""))</f>
        <v/>
      </c>
      <c r="EO58" s="18">
        <f>(COUNTIF($AQ58:$AR58,"&lt;&gt;"))*参照データ!$H$3</f>
        <v>0</v>
      </c>
      <c r="EP58" s="18"/>
      <c r="EQ58" s="98">
        <f t="array" ref="EQ58">SUM(IF(ISERROR(EE58:EN58),0,(EE58:EN58)))</f>
        <v>0</v>
      </c>
      <c r="ER58" s="18"/>
      <c r="ES58" s="18">
        <f t="shared" si="10"/>
        <v>0</v>
      </c>
      <c r="ET58" s="18">
        <f t="shared" si="36"/>
        <v>0</v>
      </c>
      <c r="EU58" s="18">
        <f t="shared" si="27"/>
        <v>0</v>
      </c>
      <c r="EV58" s="18">
        <f t="shared" si="28"/>
        <v>0</v>
      </c>
      <c r="EW58" s="18">
        <f t="shared" si="29"/>
        <v>0</v>
      </c>
      <c r="EX58" s="18">
        <f t="shared" si="30"/>
        <v>0</v>
      </c>
      <c r="EY58" t="str">
        <f t="shared" si="31"/>
        <v/>
      </c>
    </row>
    <row r="59" spans="1:155" ht="18.75" customHeight="1" x14ac:dyDescent="0.2">
      <c r="A59">
        <v>48</v>
      </c>
      <c r="B59" s="14" t="str">
        <f>IF(D59="","",IF(D59="重複","",COUNTIF(B$12:$B58,"&gt;0")+1))</f>
        <v/>
      </c>
      <c r="C59" s="464"/>
      <c r="D59" s="177"/>
      <c r="E59" s="177"/>
      <c r="F59" s="31"/>
      <c r="G59" s="41"/>
      <c r="H59" s="351">
        <f t="shared" si="32"/>
        <v>0</v>
      </c>
      <c r="I59" s="193" t="str">
        <f>IF($AW59=0,"",DATEDIF($AW59,参照データ!$D$16,"Y"))</f>
        <v/>
      </c>
      <c r="J59" s="517"/>
      <c r="K59" s="517"/>
      <c r="L59" s="517"/>
      <c r="M59" s="517"/>
      <c r="N59" s="517"/>
      <c r="O59" s="518"/>
      <c r="P59" s="345"/>
      <c r="Q59" s="345"/>
      <c r="R59" s="519"/>
      <c r="S59" s="244"/>
      <c r="T59" s="244"/>
      <c r="U59" s="244"/>
      <c r="V59" s="245"/>
      <c r="W59" s="248"/>
      <c r="X59" s="250"/>
      <c r="Y59" s="345"/>
      <c r="Z59" s="388"/>
      <c r="AA59" s="346" t="str">
        <f>IF($Z59="○",VLOOKUP($CB59,参照データ!$D$65:$M$82,9,0),IF($Z59="選手権",VLOOKUP($DE59,参照データ!$D$88:$O$117,10,0),""))</f>
        <v/>
      </c>
      <c r="AB59" s="388"/>
      <c r="AC59" s="346" t="str">
        <f>IF($AB59="○",VLOOKUP($CB59,参照データ!$D$65:$M$82,10,0),IF($AB59="選手権",VLOOKUP($DE59,参照データ!$D$88:$O$117,11,0),""))</f>
        <v/>
      </c>
      <c r="AD59" s="388"/>
      <c r="AE59" s="346" t="str">
        <f>IF($AD59="○",VLOOKUP($CB59,参照データ!$D$65:$M$82,10,0),IF($AD59="選手権",VLOOKUP($DE59,参照データ!$D$88:$O$117,11,0),""))</f>
        <v/>
      </c>
      <c r="AF59" s="388"/>
      <c r="AG59" s="346" t="str">
        <f>IF($AF59="○",VLOOKUP($CB59,参照データ!$D$65:$M$82,10,0),IF($AF59="選手権",VLOOKUP($DL59,参照データ!$D$88:$O$117,12,0),""))</f>
        <v/>
      </c>
      <c r="AH59" s="388"/>
      <c r="AI59" s="346" t="str">
        <f>IF($AH59="○",VLOOKUP($CB59,参照データ!$D$65:$M$82,10,0),IF($AH59="選手権",VLOOKUP($DL59,参照データ!$D$88:$O$117,12,0),""))</f>
        <v/>
      </c>
      <c r="AJ59" s="388"/>
      <c r="AK59" s="511"/>
      <c r="AL59" s="346" t="str">
        <f t="shared" si="3"/>
        <v/>
      </c>
      <c r="AM59" s="392"/>
      <c r="AN59" s="391"/>
      <c r="AO59" s="391"/>
      <c r="AP59" s="447"/>
      <c r="AQ59" s="321"/>
      <c r="AR59" s="481"/>
      <c r="AS59" s="393"/>
      <c r="AT59" s="483"/>
      <c r="AW59">
        <f t="shared" si="45"/>
        <v>0</v>
      </c>
      <c r="AX59" t="str">
        <f t="shared" si="33"/>
        <v/>
      </c>
      <c r="AY59" s="132"/>
      <c r="BA59" s="513" t="str">
        <f>IF(団体情報・入力の仕方!$C$3&lt;&gt;"大田区大会","",IF(AW59=0,"",IF(I59&gt;=18,"○","")))</f>
        <v/>
      </c>
      <c r="BB59" s="53" t="str">
        <f>IF($AW59=0,"",IF(AND($I59&gt;=6,$I59&lt;=19),VLOOKUP($I59,参照データ!$B$24:$C$37,2,0),IF($I59&lt;6,6,19)))</f>
        <v/>
      </c>
      <c r="BC59" s="155" t="str">
        <f>IF($J59="○",VLOOKUP($BB59,参照データ!$C$24:$I$37,2,0),"")</f>
        <v/>
      </c>
      <c r="BD59" s="146" t="str">
        <f>IF($K59="○",VLOOKUP($BB59,参照データ!$C$24:$I$37,3,0),"")</f>
        <v/>
      </c>
      <c r="BE59" s="146" t="str">
        <f>IF($L59="○",VLOOKUP($BB59,参照データ!$C$24:$I$37,4,0),"")</f>
        <v/>
      </c>
      <c r="BF59" s="146" t="str">
        <f>IF($M59="○",VLOOKUP($BB59,参照データ!$C$24:$I$37,5,0),"")</f>
        <v/>
      </c>
      <c r="BG59" s="146" t="str">
        <f>IF($N59="20日",VLOOKUP($BB59,参照データ!$C$24:$I$37,6,0),"")</f>
        <v/>
      </c>
      <c r="BH59" s="156" t="str">
        <f>IF($O59="20日",VLOOKUP($BB59,参照データ!$C$24:$I$37,7,0),"")</f>
        <v/>
      </c>
      <c r="BI59" s="155" t="str">
        <f>IF($J59="21日",VLOOKUP($BB59,参照データ!$C$24:$I$37,2,0),"")</f>
        <v/>
      </c>
      <c r="BJ59" s="146" t="str">
        <f>IF($K59="21日",VLOOKUP($BB59,参照データ!$C$24:$I$37,3,0),"")</f>
        <v/>
      </c>
      <c r="BK59" s="146" t="str">
        <f>IF($L59="21日",VLOOKUP($BB59,参照データ!$C$24:$I$37,4,0),"")</f>
        <v/>
      </c>
      <c r="BL59" s="146" t="str">
        <f>IF($M59="21日",VLOOKUP($BB59,参照データ!$C$24:$I$37,5,0),"")</f>
        <v/>
      </c>
      <c r="BM59" s="146" t="str">
        <f>IF($N59="21日",VLOOKUP($BB59,参照データ!$C$24:$I$37,6,0),"")</f>
        <v/>
      </c>
      <c r="BN59" s="156" t="str">
        <f>IF($O59="21日",VLOOKUP($BB59,参照データ!$C$24:$I$37,7,0),"")</f>
        <v/>
      </c>
      <c r="BO59" s="223" t="str">
        <f t="shared" si="40"/>
        <v/>
      </c>
      <c r="BP59" s="154" t="str">
        <f>IF($R59="入門",VLOOKUP($BB59,参照データ!$C$43:$U$56,2,0),IF($R59="初級",VLOOKUP($BB59,参照データ!$C$43:$U$56,3,0),IF($R59="中級",VLOOKUP($BB59,参照データ!$C$43:$U$56,4,0),IF($R59="上級",VLOOKUP($BB59,参照データ!$C$43:$U$56,5,0),""))))</f>
        <v/>
      </c>
      <c r="BQ59" s="154" t="str">
        <f>IF($S59="初級",VLOOKUP($BB59,参照データ!$C$43:$U$56,6,0),IF($S59="中級",VLOOKUP($BB59,参照データ!$C$43:$U$56,7,0),IF($S59="上級",VLOOKUP($BB59,参照データ!$C$43:$U$56,8,0),"")))</f>
        <v/>
      </c>
      <c r="BR59" s="154" t="str">
        <f>IF($T59="初級",VLOOKUP($BB59,参照データ!$C$43:$U$56,9,0),IF($T59="上級",VLOOKUP($BB59,参照データ!$C$43:$U$56,10,0),""))</f>
        <v/>
      </c>
      <c r="BS59" s="154" t="str">
        <f>IF($U59="初級",VLOOKUP($BB59,参照データ!$C$43:$U$56,11,0),IF($U59="中級",VLOOKUP($BB59,参照データ!$C$43:$U$56,12,0),IF($U59="上級",VLOOKUP($BB59,参照データ!$C$43:$U$56,13,0),"")))</f>
        <v/>
      </c>
      <c r="BT59" s="154" t="str">
        <f>IF($V59="初級",VLOOKUP($BB59,参照データ!$C$43:$U$56,14,0),IF($V59="中級",VLOOKUP($BB59,参照データ!$C$43:$U$56,15,0),IF($V59="上級",VLOOKUP($BB59,参照データ!$C$43:$U$56,16,0),"")))</f>
        <v/>
      </c>
      <c r="BU59" s="47" t="str">
        <f t="shared" si="4"/>
        <v/>
      </c>
      <c r="BV59" s="47" t="str">
        <f>IF($W59="初級",VLOOKUP($BB59,参照データ!$C$43:$U$56,17,0),IF($W59="中級",VLOOKUP($BB59,参照データ!$C$43:$U$56,18,0),IF($W59="上級",VLOOKUP($BB59,参照データ!$C$43:$U$56,19,0),"")))</f>
        <v/>
      </c>
      <c r="BW59" s="687"/>
      <c r="BX59" s="65" t="s">
        <v>132</v>
      </c>
      <c r="BY59" s="135" t="str">
        <f t="shared" si="11"/>
        <v/>
      </c>
      <c r="BZ59" s="689"/>
      <c r="CB59" s="53" t="str">
        <f>IF(AND($AW59&gt;=参照データ!$C$67,$AW59&lt;=参照データ!$C$65),1,IF(AND($AW59&gt;=参照データ!$C$70,$AW59&lt;=参照データ!$C$68),2,IF(AND($AW59&gt;=参照データ!$C$73,$AW59&lt;=参照データ!$C$71),3,IF(AND($AW59&gt;=参照データ!$C$76,$AW59&lt;=参照データ!$C$74),4,IF(AND($AW59&gt;=参照データ!$C$79,$AW59&lt;=参照データ!$C$77),5,IF(AND($AW59&gt;0,$AW59&lt;=参照データ!$C$80),6,""))))))</f>
        <v/>
      </c>
      <c r="CC59" s="141" t="str">
        <f>IF($Z59="○",(VLOOKUP($CB59,参照データ!$D$65:$J$82,2,0)),"")</f>
        <v/>
      </c>
      <c r="CD59" s="71" t="str">
        <f t="shared" si="12"/>
        <v/>
      </c>
      <c r="CE59" s="70" t="str">
        <f>IF($AB59="○",(VLOOKUP($CB59,参照データ!$D$65:$J$82,3,0)),"")</f>
        <v/>
      </c>
      <c r="CF59" s="71" t="str">
        <f t="shared" si="13"/>
        <v/>
      </c>
      <c r="CG59" s="70" t="str">
        <f>IF($AD59="○",(VLOOKUP($CB59,参照データ!$D$65:$J$82,4,0)),"")</f>
        <v/>
      </c>
      <c r="CH59" s="71" t="str">
        <f t="shared" si="14"/>
        <v/>
      </c>
      <c r="CI59" s="70" t="str">
        <f>IF($AF59="○",(VLOOKUP($CB59,参照データ!$D$65:$J$82,5,0)),"")</f>
        <v/>
      </c>
      <c r="CJ59" s="71" t="str">
        <f t="shared" si="5"/>
        <v/>
      </c>
      <c r="CK59" s="70" t="str">
        <f>IF($AH59="○",(VLOOKUP($CB59,参照データ!$D$65:$J$82,6,0)),"")</f>
        <v/>
      </c>
      <c r="CL59" s="71" t="str">
        <f t="shared" si="15"/>
        <v/>
      </c>
      <c r="CM59" s="33" t="str">
        <f t="shared" si="16"/>
        <v/>
      </c>
      <c r="CN59" s="32" t="str">
        <f t="shared" si="17"/>
        <v/>
      </c>
      <c r="CO59" s="71" t="str">
        <f t="shared" si="18"/>
        <v/>
      </c>
      <c r="CP59" s="682"/>
      <c r="CQ59" s="77" t="s">
        <v>132</v>
      </c>
      <c r="CR59" s="78" t="str">
        <f t="shared" si="19"/>
        <v/>
      </c>
      <c r="CS59" s="684"/>
      <c r="CT59" s="308" t="str">
        <f t="shared" ref="CT59" si="106">$CT58</f>
        <v/>
      </c>
      <c r="CU59" s="70"/>
      <c r="CV59" s="172" t="str">
        <f t="shared" si="20"/>
        <v/>
      </c>
      <c r="CX59" s="32"/>
      <c r="CY59" s="161" t="str">
        <f t="shared" si="21"/>
        <v/>
      </c>
      <c r="CZ59" s="744"/>
      <c r="DA59" s="164" t="s">
        <v>132</v>
      </c>
      <c r="DB59" s="165" t="str">
        <f t="shared" si="42"/>
        <v/>
      </c>
      <c r="DC59" s="742"/>
      <c r="DD59" t="str">
        <f>IF($DE59="","",DATEDIF($AW59,参照データ!$D$19,"Y"))</f>
        <v/>
      </c>
      <c r="DE59" s="253" t="str">
        <f>IFERROR(IF($AX59="男子",VLOOKUP($DL59,参照データ!$D$88:$E$117,2,0),$DL59),0)</f>
        <v/>
      </c>
      <c r="DF59" s="84" t="str">
        <f>IF($Z59="選手権",(VLOOKUP($DE59,参照データ!$D$88:$K$117,3,0)),"")</f>
        <v/>
      </c>
      <c r="DG59" s="85" t="str">
        <f t="shared" si="6"/>
        <v/>
      </c>
      <c r="DH59" s="84" t="str">
        <f>IF($AB59="選手権",(VLOOKUP($DE59,参照データ!$D$88:$K$117,4,0)),"")</f>
        <v/>
      </c>
      <c r="DI59" s="85" t="str">
        <f t="shared" si="7"/>
        <v/>
      </c>
      <c r="DJ59" s="84" t="str">
        <f>IF($AD59="選手権",(VLOOKUP($DE59,参照データ!$D$88:$K$117,5,0)),"")</f>
        <v/>
      </c>
      <c r="DK59" s="85" t="str">
        <f t="shared" si="8"/>
        <v/>
      </c>
      <c r="DL59" s="53" t="str">
        <f>IF(AND($AW59&gt;=参照データ!$C$90,$AW59&lt;=参照データ!$C$88),1,IF(AND($AW59&gt;=参照データ!$C$93,$AW59&lt;=参照データ!$C$91),2,IF(AND($AW59&gt;=参照データ!$C$99,$AW59&lt;=参照データ!$C$97),3,IF(AND($AW59&gt;=参照データ!$C$105,$AW59&lt;=参照データ!$C$103),4,IF(AND($AW59&gt;=参照データ!$C$111,$AW59&lt;=参照データ!$C$109),5,IF(AND($AW59&gt;0,$AW59&lt;=参照データ!$C$112),6,""))))))</f>
        <v/>
      </c>
      <c r="DM59" s="84" t="str">
        <f>IF($AF59="選手権",(VLOOKUP($DL59,参照データ!$D$88:$K$117,6,0)),"")</f>
        <v/>
      </c>
      <c r="DN59" s="85" t="str">
        <f t="shared" si="9"/>
        <v/>
      </c>
      <c r="DO59" s="84" t="str">
        <f>IF($AH59="選手権",(VLOOKUP($DL59,参照データ!$D$88:$K$117,7,0)),"")</f>
        <v/>
      </c>
      <c r="DP59" s="85" t="str">
        <f t="shared" si="22"/>
        <v/>
      </c>
      <c r="DQ59" s="33" t="str">
        <f t="shared" si="23"/>
        <v/>
      </c>
      <c r="DR59" s="32" t="str">
        <f t="shared" si="24"/>
        <v/>
      </c>
      <c r="DS59" s="85" t="str">
        <f t="shared" si="25"/>
        <v/>
      </c>
      <c r="DT59" s="733"/>
      <c r="DU59" s="91" t="s">
        <v>132</v>
      </c>
      <c r="DV59" s="92" t="str">
        <f t="shared" si="35"/>
        <v/>
      </c>
      <c r="DW59" s="735"/>
      <c r="DX59" s="312" t="str">
        <f t="shared" ref="DX59" si="107">$DX58</f>
        <v/>
      </c>
      <c r="DZ59" s="491" t="str">
        <f t="shared" si="26"/>
        <v/>
      </c>
      <c r="EE59" s="35">
        <f>(COUNTIF($J59:$O59,"&lt;&gt;"))*参照データ!$E$3</f>
        <v>0</v>
      </c>
      <c r="EF59" s="219" t="str">
        <f>IF($Y59="○",参照データ!$E$4,"")</f>
        <v/>
      </c>
      <c r="EG59" s="18">
        <f>(SUM(COUNTIF($R59:$V59,{"入門","初級"}))*参照データ!$E$9)+(SUM(COUNTIF($R59:$V59,{"中級","上級"})*参照データ!$E$10))</f>
        <v>0</v>
      </c>
      <c r="EH59" s="18">
        <f>IFERROR(VLOOKUP($W59,参照データ!$D$9:$J$11,7,0),0)</f>
        <v>0</v>
      </c>
      <c r="EI59" s="18">
        <f>((COUNTIF($Z59:$AH59,"○"))*参照データ!$E$12)</f>
        <v>0</v>
      </c>
      <c r="EJ59" s="18" t="str">
        <f>(IF($AJ59="○",参照データ!$J$12,""))</f>
        <v/>
      </c>
      <c r="EM59" s="18">
        <f>((COUNTIF($Z59:$AH59,"選手権"))*参照データ!$E$13)</f>
        <v>0</v>
      </c>
      <c r="EN59" s="18" t="str">
        <f>(IF($AJ59="選手権",参照データ!$J$13,""))</f>
        <v/>
      </c>
      <c r="EO59" s="18">
        <f>(COUNTIF($AQ59:$AR59,"&lt;&gt;"))*参照データ!$H$3</f>
        <v>0</v>
      </c>
      <c r="EP59" s="18"/>
      <c r="EQ59" s="98">
        <f t="array" ref="EQ59">SUM(IF(ISERROR(EE59:EN59),0,(EE59:EN59)))</f>
        <v>0</v>
      </c>
      <c r="ER59" s="18"/>
      <c r="ES59" s="18">
        <f t="shared" si="10"/>
        <v>0</v>
      </c>
      <c r="ET59" s="18">
        <f t="shared" si="36"/>
        <v>0</v>
      </c>
      <c r="EU59" s="18">
        <f t="shared" si="27"/>
        <v>0</v>
      </c>
      <c r="EV59" s="18">
        <f t="shared" si="28"/>
        <v>0</v>
      </c>
      <c r="EW59" s="18">
        <f t="shared" si="29"/>
        <v>0</v>
      </c>
      <c r="EX59" s="18">
        <f t="shared" si="30"/>
        <v>0</v>
      </c>
      <c r="EY59" t="str">
        <f t="shared" si="31"/>
        <v/>
      </c>
    </row>
    <row r="60" spans="1:155" ht="18.75" customHeight="1" x14ac:dyDescent="0.2">
      <c r="A60">
        <v>49</v>
      </c>
      <c r="B60" s="14" t="str">
        <f>IF(D60="","",IF(D60="重複","",COUNTIF(B$12:$B59,"&gt;0")+1))</f>
        <v/>
      </c>
      <c r="C60" s="464"/>
      <c r="D60" s="177"/>
      <c r="E60" s="177"/>
      <c r="F60" s="31"/>
      <c r="G60" s="41"/>
      <c r="H60" s="351">
        <f t="shared" si="32"/>
        <v>0</v>
      </c>
      <c r="I60" s="193" t="str">
        <f>IF($AW60=0,"",DATEDIF($AW60,参照データ!$D$16,"Y"))</f>
        <v/>
      </c>
      <c r="J60" s="517"/>
      <c r="K60" s="517"/>
      <c r="L60" s="517"/>
      <c r="M60" s="517"/>
      <c r="N60" s="517"/>
      <c r="O60" s="518"/>
      <c r="P60" s="345"/>
      <c r="Q60" s="345"/>
      <c r="R60" s="519"/>
      <c r="S60" s="244"/>
      <c r="T60" s="244"/>
      <c r="U60" s="244"/>
      <c r="V60" s="245"/>
      <c r="W60" s="248"/>
      <c r="X60" s="250"/>
      <c r="Y60" s="345"/>
      <c r="Z60" s="388"/>
      <c r="AA60" s="346" t="str">
        <f>IF($Z60="○",VLOOKUP($CB60,参照データ!$D$65:$M$82,9,0),IF($Z60="選手権",VLOOKUP($DE60,参照データ!$D$88:$O$117,10,0),""))</f>
        <v/>
      </c>
      <c r="AB60" s="388"/>
      <c r="AC60" s="346" t="str">
        <f>IF($AB60="○",VLOOKUP($CB60,参照データ!$D$65:$M$82,10,0),IF($AB60="選手権",VLOOKUP($DE60,参照データ!$D$88:$O$117,11,0),""))</f>
        <v/>
      </c>
      <c r="AD60" s="388"/>
      <c r="AE60" s="346" t="str">
        <f>IF($AD60="○",VLOOKUP($CB60,参照データ!$D$65:$M$82,10,0),IF($AD60="選手権",VLOOKUP($DE60,参照データ!$D$88:$O$117,11,0),""))</f>
        <v/>
      </c>
      <c r="AF60" s="388"/>
      <c r="AG60" s="346" t="str">
        <f>IF($AF60="○",VLOOKUP($CB60,参照データ!$D$65:$M$82,10,0),IF($AF60="選手権",VLOOKUP($DL60,参照データ!$D$88:$O$117,12,0),""))</f>
        <v/>
      </c>
      <c r="AH60" s="388"/>
      <c r="AI60" s="346" t="str">
        <f>IF($AH60="○",VLOOKUP($CB60,参照データ!$D$65:$M$82,10,0),IF($AH60="選手権",VLOOKUP($DL60,参照データ!$D$88:$O$117,12,0),""))</f>
        <v/>
      </c>
      <c r="AJ60" s="388"/>
      <c r="AK60" s="511"/>
      <c r="AL60" s="346" t="str">
        <f t="shared" si="3"/>
        <v/>
      </c>
      <c r="AM60" s="392"/>
      <c r="AN60" s="391"/>
      <c r="AO60" s="391"/>
      <c r="AP60" s="447"/>
      <c r="AQ60" s="321"/>
      <c r="AR60" s="481"/>
      <c r="AS60" s="393"/>
      <c r="AT60" s="483"/>
      <c r="AW60">
        <f t="shared" si="45"/>
        <v>0</v>
      </c>
      <c r="AX60" t="str">
        <f t="shared" si="33"/>
        <v/>
      </c>
      <c r="AY60" s="132"/>
      <c r="BA60" s="513" t="str">
        <f>IF(団体情報・入力の仕方!$C$3&lt;&gt;"大田区大会","",IF(AW60=0,"",IF(I60&gt;=18,"○","")))</f>
        <v/>
      </c>
      <c r="BB60" s="53" t="str">
        <f>IF($AW60=0,"",IF(AND($I60&gt;=6,$I60&lt;=19),VLOOKUP($I60,参照データ!$B$24:$C$37,2,0),IF($I60&lt;6,6,19)))</f>
        <v/>
      </c>
      <c r="BC60" s="155" t="str">
        <f>IF($J60="○",VLOOKUP($BB60,参照データ!$C$24:$I$37,2,0),"")</f>
        <v/>
      </c>
      <c r="BD60" s="146" t="str">
        <f>IF($K60="○",VLOOKUP($BB60,参照データ!$C$24:$I$37,3,0),"")</f>
        <v/>
      </c>
      <c r="BE60" s="146" t="str">
        <f>IF($L60="○",VLOOKUP($BB60,参照データ!$C$24:$I$37,4,0),"")</f>
        <v/>
      </c>
      <c r="BF60" s="146" t="str">
        <f>IF($M60="○",VLOOKUP($BB60,参照データ!$C$24:$I$37,5,0),"")</f>
        <v/>
      </c>
      <c r="BG60" s="146" t="str">
        <f>IF($N60="20日",VLOOKUP($BB60,参照データ!$C$24:$I$37,6,0),"")</f>
        <v/>
      </c>
      <c r="BH60" s="156" t="str">
        <f>IF($O60="20日",VLOOKUP($BB60,参照データ!$C$24:$I$37,7,0),"")</f>
        <v/>
      </c>
      <c r="BI60" s="155" t="str">
        <f>IF($J60="21日",VLOOKUP($BB60,参照データ!$C$24:$I$37,2,0),"")</f>
        <v/>
      </c>
      <c r="BJ60" s="146" t="str">
        <f>IF($K60="21日",VLOOKUP($BB60,参照データ!$C$24:$I$37,3,0),"")</f>
        <v/>
      </c>
      <c r="BK60" s="146" t="str">
        <f>IF($L60="21日",VLOOKUP($BB60,参照データ!$C$24:$I$37,4,0),"")</f>
        <v/>
      </c>
      <c r="BL60" s="146" t="str">
        <f>IF($M60="21日",VLOOKUP($BB60,参照データ!$C$24:$I$37,5,0),"")</f>
        <v/>
      </c>
      <c r="BM60" s="146" t="str">
        <f>IF($N60="21日",VLOOKUP($BB60,参照データ!$C$24:$I$37,6,0),"")</f>
        <v/>
      </c>
      <c r="BN60" s="156" t="str">
        <f>IF($O60="21日",VLOOKUP($BB60,参照データ!$C$24:$I$37,7,0),"")</f>
        <v/>
      </c>
      <c r="BO60" s="223" t="str">
        <f t="shared" si="40"/>
        <v/>
      </c>
      <c r="BP60" s="154" t="str">
        <f>IF($R60="入門",VLOOKUP($BB60,参照データ!$C$43:$U$56,2,0),IF($R60="初級",VLOOKUP($BB60,参照データ!$C$43:$U$56,3,0),IF($R60="中級",VLOOKUP($BB60,参照データ!$C$43:$U$56,4,0),IF($R60="上級",VLOOKUP($BB60,参照データ!$C$43:$U$56,5,0),""))))</f>
        <v/>
      </c>
      <c r="BQ60" s="154" t="str">
        <f>IF($S60="初級",VLOOKUP($BB60,参照データ!$C$43:$U$56,6,0),IF($S60="中級",VLOOKUP($BB60,参照データ!$C$43:$U$56,7,0),IF($S60="上級",VLOOKUP($BB60,参照データ!$C$43:$U$56,8,0),"")))</f>
        <v/>
      </c>
      <c r="BR60" s="154" t="str">
        <f>IF($T60="初級",VLOOKUP($BB60,参照データ!$C$43:$U$56,9,0),IF($T60="上級",VLOOKUP($BB60,参照データ!$C$43:$U$56,10,0),""))</f>
        <v/>
      </c>
      <c r="BS60" s="154" t="str">
        <f>IF($U60="初級",VLOOKUP($BB60,参照データ!$C$43:$U$56,11,0),IF($U60="中級",VLOOKUP($BB60,参照データ!$C$43:$U$56,12,0),IF($U60="上級",VLOOKUP($BB60,参照データ!$C$43:$U$56,13,0),"")))</f>
        <v/>
      </c>
      <c r="BT60" s="154" t="str">
        <f>IF($V60="初級",VLOOKUP($BB60,参照データ!$C$43:$U$56,14,0),IF($V60="中級",VLOOKUP($BB60,参照データ!$C$43:$U$56,15,0),IF($V60="上級",VLOOKUP($BB60,参照データ!$C$43:$U$56,16,0),"")))</f>
        <v/>
      </c>
      <c r="BU60" s="47" t="str">
        <f t="shared" si="4"/>
        <v/>
      </c>
      <c r="BV60" s="47" t="str">
        <f>IF($W60="初級",VLOOKUP($BB60,参照データ!$C$43:$U$56,17,0),IF($W60="中級",VLOOKUP($BB60,参照データ!$C$43:$U$56,18,0),IF($W60="上級",VLOOKUP($BB60,参照データ!$C$43:$U$56,19,0),"")))</f>
        <v/>
      </c>
      <c r="BW60" s="686">
        <v>25</v>
      </c>
      <c r="BX60" s="66" t="s">
        <v>133</v>
      </c>
      <c r="BY60" s="136" t="str">
        <f t="shared" si="11"/>
        <v/>
      </c>
      <c r="BZ60" s="688" t="str">
        <f t="shared" ref="BZ60" si="108">IF(OR($BY60="",$BY61=""),"",IF($BY60&gt;$BY61,$BY60,$BY61))</f>
        <v/>
      </c>
      <c r="CB60" s="53" t="str">
        <f>IF(AND($AW60&gt;=参照データ!$C$67,$AW60&lt;=参照データ!$C$65),1,IF(AND($AW60&gt;=参照データ!$C$70,$AW60&lt;=参照データ!$C$68),2,IF(AND($AW60&gt;=参照データ!$C$73,$AW60&lt;=参照データ!$C$71),3,IF(AND($AW60&gt;=参照データ!$C$76,$AW60&lt;=参照データ!$C$74),4,IF(AND($AW60&gt;=参照データ!$C$79,$AW60&lt;=参照データ!$C$77),5,IF(AND($AW60&gt;0,$AW60&lt;=参照データ!$C$80),6,""))))))</f>
        <v/>
      </c>
      <c r="CC60" s="141" t="str">
        <f>IF($Z60="○",(VLOOKUP($CB60,参照データ!$D$65:$J$82,2,0)),"")</f>
        <v/>
      </c>
      <c r="CD60" s="71" t="str">
        <f t="shared" si="12"/>
        <v/>
      </c>
      <c r="CE60" s="70" t="str">
        <f>IF($AB60="○",(VLOOKUP($CB60,参照データ!$D$65:$J$82,3,0)),"")</f>
        <v/>
      </c>
      <c r="CF60" s="71" t="str">
        <f t="shared" si="13"/>
        <v/>
      </c>
      <c r="CG60" s="70" t="str">
        <f>IF($AD60="○",(VLOOKUP($CB60,参照データ!$D$65:$J$82,4,0)),"")</f>
        <v/>
      </c>
      <c r="CH60" s="71" t="str">
        <f t="shared" si="14"/>
        <v/>
      </c>
      <c r="CI60" s="70" t="str">
        <f>IF($AF60="○",(VLOOKUP($CB60,参照データ!$D$65:$J$82,5,0)),"")</f>
        <v/>
      </c>
      <c r="CJ60" s="71" t="str">
        <f t="shared" si="5"/>
        <v/>
      </c>
      <c r="CK60" s="70" t="str">
        <f>IF($AH60="○",(VLOOKUP($CB60,参照データ!$D$65:$J$82,6,0)),"")</f>
        <v/>
      </c>
      <c r="CL60" s="71" t="str">
        <f t="shared" si="15"/>
        <v/>
      </c>
      <c r="CM60" s="33" t="str">
        <f t="shared" si="16"/>
        <v/>
      </c>
      <c r="CN60" s="32" t="str">
        <f t="shared" si="17"/>
        <v/>
      </c>
      <c r="CO60" s="71" t="str">
        <f t="shared" si="18"/>
        <v/>
      </c>
      <c r="CP60" s="681">
        <v>25</v>
      </c>
      <c r="CQ60" s="79" t="s">
        <v>133</v>
      </c>
      <c r="CR60" s="80" t="str">
        <f t="shared" si="19"/>
        <v/>
      </c>
      <c r="CS60" s="683" t="e">
        <f>IF($CR60&gt;$CR61,VLOOKUP($CR60,参照データ!$D$65:$J$82,7,0),VLOOKUP($CR61,参照データ!$D$65:$J$82,7,0))</f>
        <v>#N/A</v>
      </c>
      <c r="CT60" s="308" t="str">
        <f>IFERROR(VLOOKUP($CS60,参照データ!$J$65:$M$82,4,0),"")</f>
        <v/>
      </c>
      <c r="CU60" s="70"/>
      <c r="CV60" s="172" t="str">
        <f t="shared" si="20"/>
        <v/>
      </c>
      <c r="CX60" s="32"/>
      <c r="CY60" s="161" t="str">
        <f t="shared" si="21"/>
        <v/>
      </c>
      <c r="CZ60" s="743">
        <v>25</v>
      </c>
      <c r="DA60" s="166" t="s">
        <v>133</v>
      </c>
      <c r="DB60" s="167" t="str">
        <f t="shared" si="42"/>
        <v/>
      </c>
      <c r="DC60" s="741" t="str">
        <f>IF(OR(DB60="",DB61=""),"",IF(DB60&gt;DB61,DB60,DB61))</f>
        <v/>
      </c>
      <c r="DD60" t="str">
        <f>IF($DE60="","",DATEDIF($AW60,参照データ!$D$19,"Y"))</f>
        <v/>
      </c>
      <c r="DE60" s="253" t="str">
        <f>IFERROR(IF($AX60="男子",VLOOKUP($DL60,参照データ!$D$88:$E$117,2,0),$DL60),0)</f>
        <v/>
      </c>
      <c r="DF60" s="84" t="str">
        <f>IF($Z60="選手権",(VLOOKUP($DE60,参照データ!$D$88:$K$117,3,0)),"")</f>
        <v/>
      </c>
      <c r="DG60" s="85" t="str">
        <f t="shared" si="6"/>
        <v/>
      </c>
      <c r="DH60" s="84" t="str">
        <f>IF($AB60="選手権",(VLOOKUP($DE60,参照データ!$D$88:$K$117,4,0)),"")</f>
        <v/>
      </c>
      <c r="DI60" s="85" t="str">
        <f t="shared" si="7"/>
        <v/>
      </c>
      <c r="DJ60" s="84" t="str">
        <f>IF($AD60="選手権",(VLOOKUP($DE60,参照データ!$D$88:$K$117,5,0)),"")</f>
        <v/>
      </c>
      <c r="DK60" s="85" t="str">
        <f t="shared" si="8"/>
        <v/>
      </c>
      <c r="DL60" s="53" t="str">
        <f>IF(AND($AW60&gt;=参照データ!$C$90,$AW60&lt;=参照データ!$C$88),1,IF(AND($AW60&gt;=参照データ!$C$93,$AW60&lt;=参照データ!$C$91),2,IF(AND($AW60&gt;=参照データ!$C$99,$AW60&lt;=参照データ!$C$97),3,IF(AND($AW60&gt;=参照データ!$C$105,$AW60&lt;=参照データ!$C$103),4,IF(AND($AW60&gt;=参照データ!$C$111,$AW60&lt;=参照データ!$C$109),5,IF(AND($AW60&gt;0,$AW60&lt;=参照データ!$C$112),6,""))))))</f>
        <v/>
      </c>
      <c r="DM60" s="84" t="str">
        <f>IF($AF60="選手権",(VLOOKUP($DL60,参照データ!$D$88:$K$117,6,0)),"")</f>
        <v/>
      </c>
      <c r="DN60" s="85" t="str">
        <f t="shared" si="9"/>
        <v/>
      </c>
      <c r="DO60" s="84" t="str">
        <f>IF($AH60="選手権",(VLOOKUP($DL60,参照データ!$D$88:$K$117,7,0)),"")</f>
        <v/>
      </c>
      <c r="DP60" s="85" t="str">
        <f t="shared" si="22"/>
        <v/>
      </c>
      <c r="DQ60" s="33" t="str">
        <f t="shared" si="23"/>
        <v/>
      </c>
      <c r="DR60" s="32" t="str">
        <f t="shared" si="24"/>
        <v/>
      </c>
      <c r="DS60" s="85" t="str">
        <f t="shared" si="25"/>
        <v/>
      </c>
      <c r="DT60" s="736">
        <v>25</v>
      </c>
      <c r="DU60" s="93" t="s">
        <v>133</v>
      </c>
      <c r="DV60" s="94" t="str">
        <f t="shared" si="35"/>
        <v/>
      </c>
      <c r="DW60" s="737" t="e">
        <f>IF($DV60&gt;$DV61,VLOOKUP($DV60,参照データ!$D$88:$K$117,8,0),VLOOKUP($DV61,参照データ!$D$88:$K$117,8,0))</f>
        <v>#N/A</v>
      </c>
      <c r="DX60" s="312" t="str">
        <f>IFERROR(VLOOKUP($DW60,参照データ!$K$88:$O$117,5,0),"")</f>
        <v/>
      </c>
      <c r="DZ60" s="491" t="str">
        <f t="shared" si="26"/>
        <v/>
      </c>
      <c r="EE60" s="35">
        <f>(COUNTIF($J60:$O60,"&lt;&gt;"))*参照データ!$E$3</f>
        <v>0</v>
      </c>
      <c r="EF60" s="219" t="str">
        <f>IF($Y60="○",参照データ!$E$4,"")</f>
        <v/>
      </c>
      <c r="EG60" s="18">
        <f>(SUM(COUNTIF($R60:$V60,{"入門","初級"}))*参照データ!$E$9)+(SUM(COUNTIF($R60:$V60,{"中級","上級"})*参照データ!$E$10))</f>
        <v>0</v>
      </c>
      <c r="EH60" s="18">
        <f>IFERROR(VLOOKUP($W60,参照データ!$D$9:$J$11,7,0),0)</f>
        <v>0</v>
      </c>
      <c r="EI60" s="18">
        <f>((COUNTIF($Z60:$AH60,"○"))*参照データ!$E$12)</f>
        <v>0</v>
      </c>
      <c r="EJ60" s="18" t="str">
        <f>(IF($AJ60="○",参照データ!$J$12,""))</f>
        <v/>
      </c>
      <c r="EM60" s="18">
        <f>((COUNTIF($Z60:$AH60,"選手権"))*参照データ!$E$13)</f>
        <v>0</v>
      </c>
      <c r="EN60" s="18" t="str">
        <f>(IF($AJ60="選手権",参照データ!$J$13,""))</f>
        <v/>
      </c>
      <c r="EO60" s="18">
        <f>(COUNTIF($AQ60:$AR60,"&lt;&gt;"))*参照データ!$H$3</f>
        <v>0</v>
      </c>
      <c r="EP60" s="18"/>
      <c r="EQ60" s="98">
        <f t="array" ref="EQ60">SUM(IF(ISERROR(EE60:EN60),0,(EE60:EN60)))</f>
        <v>0</v>
      </c>
      <c r="ER60" s="18"/>
      <c r="ES60" s="18">
        <f t="shared" si="10"/>
        <v>0</v>
      </c>
      <c r="ET60" s="18">
        <f t="shared" si="36"/>
        <v>0</v>
      </c>
      <c r="EU60" s="18">
        <f t="shared" si="27"/>
        <v>0</v>
      </c>
      <c r="EV60" s="18">
        <f t="shared" si="28"/>
        <v>0</v>
      </c>
      <c r="EW60" s="18">
        <f t="shared" si="29"/>
        <v>0</v>
      </c>
      <c r="EX60" s="18">
        <f t="shared" si="30"/>
        <v>0</v>
      </c>
      <c r="EY60" t="str">
        <f t="shared" si="31"/>
        <v/>
      </c>
    </row>
    <row r="61" spans="1:155" ht="18.75" customHeight="1" x14ac:dyDescent="0.2">
      <c r="A61">
        <v>50</v>
      </c>
      <c r="B61" s="14" t="str">
        <f>IF(D61="","",IF(D61="重複","",COUNTIF(B$12:$B60,"&gt;0")+1))</f>
        <v/>
      </c>
      <c r="C61" s="464"/>
      <c r="D61" s="177"/>
      <c r="E61" s="177"/>
      <c r="F61" s="31"/>
      <c r="G61" s="41"/>
      <c r="H61" s="351">
        <f t="shared" si="32"/>
        <v>0</v>
      </c>
      <c r="I61" s="193" t="str">
        <f>IF($AW61=0,"",DATEDIF($AW61,参照データ!$D$16,"Y"))</f>
        <v/>
      </c>
      <c r="J61" s="517"/>
      <c r="K61" s="517"/>
      <c r="L61" s="517"/>
      <c r="M61" s="517"/>
      <c r="N61" s="517"/>
      <c r="O61" s="518"/>
      <c r="P61" s="345"/>
      <c r="Q61" s="345"/>
      <c r="R61" s="519"/>
      <c r="S61" s="244"/>
      <c r="T61" s="244"/>
      <c r="U61" s="244"/>
      <c r="V61" s="245"/>
      <c r="W61" s="248"/>
      <c r="X61" s="250"/>
      <c r="Y61" s="345"/>
      <c r="Z61" s="388"/>
      <c r="AA61" s="346" t="str">
        <f>IF($Z61="○",VLOOKUP($CB61,参照データ!$D$65:$M$82,9,0),IF($Z61="選手権",VLOOKUP($DE61,参照データ!$D$88:$O$117,10,0),""))</f>
        <v/>
      </c>
      <c r="AB61" s="388"/>
      <c r="AC61" s="346" t="str">
        <f>IF($AB61="○",VLOOKUP($CB61,参照データ!$D$65:$M$82,10,0),IF($AB61="選手権",VLOOKUP($DE61,参照データ!$D$88:$O$117,11,0),""))</f>
        <v/>
      </c>
      <c r="AD61" s="388"/>
      <c r="AE61" s="346" t="str">
        <f>IF($AD61="○",VLOOKUP($CB61,参照データ!$D$65:$M$82,10,0),IF($AD61="選手権",VLOOKUP($DE61,参照データ!$D$88:$O$117,11,0),""))</f>
        <v/>
      </c>
      <c r="AF61" s="388"/>
      <c r="AG61" s="346" t="str">
        <f>IF($AF61="○",VLOOKUP($CB61,参照データ!$D$65:$M$82,10,0),IF($AF61="選手権",VLOOKUP($DL61,参照データ!$D$88:$O$117,12,0),""))</f>
        <v/>
      </c>
      <c r="AH61" s="388"/>
      <c r="AI61" s="346" t="str">
        <f>IF($AH61="○",VLOOKUP($CB61,参照データ!$D$65:$M$82,10,0),IF($AH61="選手権",VLOOKUP($DL61,参照データ!$D$88:$O$117,12,0),""))</f>
        <v/>
      </c>
      <c r="AJ61" s="388"/>
      <c r="AK61" s="511"/>
      <c r="AL61" s="346" t="str">
        <f t="shared" si="3"/>
        <v/>
      </c>
      <c r="AM61" s="392"/>
      <c r="AN61" s="391"/>
      <c r="AO61" s="391"/>
      <c r="AP61" s="447"/>
      <c r="AQ61" s="321"/>
      <c r="AR61" s="481"/>
      <c r="AS61" s="393"/>
      <c r="AT61" s="483"/>
      <c r="AW61">
        <f t="shared" si="45"/>
        <v>0</v>
      </c>
      <c r="AX61" t="str">
        <f t="shared" si="33"/>
        <v/>
      </c>
      <c r="AY61" s="132"/>
      <c r="BA61" s="513" t="str">
        <f>IF(団体情報・入力の仕方!$C$3&lt;&gt;"大田区大会","",IF(AW61=0,"",IF(I61&gt;=18,"○","")))</f>
        <v/>
      </c>
      <c r="BB61" s="53" t="str">
        <f>IF($AW61=0,"",IF(AND($I61&gt;=6,$I61&lt;=19),VLOOKUP($I61,参照データ!$B$24:$C$37,2,0),IF($I61&lt;6,6,19)))</f>
        <v/>
      </c>
      <c r="BC61" s="155" t="str">
        <f>IF($J61="○",VLOOKUP($BB61,参照データ!$C$24:$I$37,2,0),"")</f>
        <v/>
      </c>
      <c r="BD61" s="146" t="str">
        <f>IF($K61="○",VLOOKUP($BB61,参照データ!$C$24:$I$37,3,0),"")</f>
        <v/>
      </c>
      <c r="BE61" s="146" t="str">
        <f>IF($L61="○",VLOOKUP($BB61,参照データ!$C$24:$I$37,4,0),"")</f>
        <v/>
      </c>
      <c r="BF61" s="146" t="str">
        <f>IF($M61="○",VLOOKUP($BB61,参照データ!$C$24:$I$37,5,0),"")</f>
        <v/>
      </c>
      <c r="BG61" s="146" t="str">
        <f>IF($N61="20日",VLOOKUP($BB61,参照データ!$C$24:$I$37,6,0),"")</f>
        <v/>
      </c>
      <c r="BH61" s="156" t="str">
        <f>IF($O61="20日",VLOOKUP($BB61,参照データ!$C$24:$I$37,7,0),"")</f>
        <v/>
      </c>
      <c r="BI61" s="155" t="str">
        <f>IF($J61="21日",VLOOKUP($BB61,参照データ!$C$24:$I$37,2,0),"")</f>
        <v/>
      </c>
      <c r="BJ61" s="146" t="str">
        <f>IF($K61="21日",VLOOKUP($BB61,参照データ!$C$24:$I$37,3,0),"")</f>
        <v/>
      </c>
      <c r="BK61" s="146" t="str">
        <f>IF($L61="21日",VLOOKUP($BB61,参照データ!$C$24:$I$37,4,0),"")</f>
        <v/>
      </c>
      <c r="BL61" s="146" t="str">
        <f>IF($M61="21日",VLOOKUP($BB61,参照データ!$C$24:$I$37,5,0),"")</f>
        <v/>
      </c>
      <c r="BM61" s="146" t="str">
        <f>IF($N61="21日",VLOOKUP($BB61,参照データ!$C$24:$I$37,6,0),"")</f>
        <v/>
      </c>
      <c r="BN61" s="156" t="str">
        <f>IF($O61="21日",VLOOKUP($BB61,参照データ!$C$24:$I$37,7,0),"")</f>
        <v/>
      </c>
      <c r="BO61" s="223" t="str">
        <f t="shared" si="40"/>
        <v/>
      </c>
      <c r="BP61" s="154" t="str">
        <f>IF($R61="入門",VLOOKUP($BB61,参照データ!$C$43:$U$56,2,0),IF($R61="初級",VLOOKUP($BB61,参照データ!$C$43:$U$56,3,0),IF($R61="中級",VLOOKUP($BB61,参照データ!$C$43:$U$56,4,0),IF($R61="上級",VLOOKUP($BB61,参照データ!$C$43:$U$56,5,0),""))))</f>
        <v/>
      </c>
      <c r="BQ61" s="154" t="str">
        <f>IF($S61="初級",VLOOKUP($BB61,参照データ!$C$43:$U$56,6,0),IF($S61="中級",VLOOKUP($BB61,参照データ!$C$43:$U$56,7,0),IF($S61="上級",VLOOKUP($BB61,参照データ!$C$43:$U$56,8,0),"")))</f>
        <v/>
      </c>
      <c r="BR61" s="154" t="str">
        <f>IF($T61="初級",VLOOKUP($BB61,参照データ!$C$43:$U$56,9,0),IF($T61="上級",VLOOKUP($BB61,参照データ!$C$43:$U$56,10,0),""))</f>
        <v/>
      </c>
      <c r="BS61" s="154" t="str">
        <f>IF($U61="初級",VLOOKUP($BB61,参照データ!$C$43:$U$56,11,0),IF($U61="中級",VLOOKUP($BB61,参照データ!$C$43:$U$56,12,0),IF($U61="上級",VLOOKUP($BB61,参照データ!$C$43:$U$56,13,0),"")))</f>
        <v/>
      </c>
      <c r="BT61" s="154" t="str">
        <f>IF($V61="初級",VLOOKUP($BB61,参照データ!$C$43:$U$56,14,0),IF($V61="中級",VLOOKUP($BB61,参照データ!$C$43:$U$56,15,0),IF($V61="上級",VLOOKUP($BB61,参照データ!$C$43:$U$56,16,0),"")))</f>
        <v/>
      </c>
      <c r="BU61" s="47" t="str">
        <f t="shared" si="4"/>
        <v/>
      </c>
      <c r="BV61" s="47" t="str">
        <f>IF($W61="初級",VLOOKUP($BB61,参照データ!$C$43:$U$56,17,0),IF($W61="中級",VLOOKUP($BB61,参照データ!$C$43:$U$56,18,0),IF($W61="上級",VLOOKUP($BB61,参照データ!$C$43:$U$56,19,0),"")))</f>
        <v/>
      </c>
      <c r="BW61" s="687"/>
      <c r="BX61" s="65" t="s">
        <v>134</v>
      </c>
      <c r="BY61" s="135" t="str">
        <f t="shared" si="11"/>
        <v/>
      </c>
      <c r="BZ61" s="689"/>
      <c r="CB61" s="53" t="str">
        <f>IF(AND($AW61&gt;=参照データ!$C$67,$AW61&lt;=参照データ!$C$65),1,IF(AND($AW61&gt;=参照データ!$C$70,$AW61&lt;=参照データ!$C$68),2,IF(AND($AW61&gt;=参照データ!$C$73,$AW61&lt;=参照データ!$C$71),3,IF(AND($AW61&gt;=参照データ!$C$76,$AW61&lt;=参照データ!$C$74),4,IF(AND($AW61&gt;=参照データ!$C$79,$AW61&lt;=参照データ!$C$77),5,IF(AND($AW61&gt;0,$AW61&lt;=参照データ!$C$80),6,""))))))</f>
        <v/>
      </c>
      <c r="CC61" s="141" t="str">
        <f>IF($Z61="○",(VLOOKUP($CB61,参照データ!$D$65:$J$82,2,0)),"")</f>
        <v/>
      </c>
      <c r="CD61" s="71" t="str">
        <f t="shared" si="12"/>
        <v/>
      </c>
      <c r="CE61" s="70" t="str">
        <f>IF($AB61="○",(VLOOKUP($CB61,参照データ!$D$65:$J$82,3,0)),"")</f>
        <v/>
      </c>
      <c r="CF61" s="71" t="str">
        <f t="shared" si="13"/>
        <v/>
      </c>
      <c r="CG61" s="70" t="str">
        <f>IF($AD61="○",(VLOOKUP($CB61,参照データ!$D$65:$J$82,4,0)),"")</f>
        <v/>
      </c>
      <c r="CH61" s="71" t="str">
        <f t="shared" si="14"/>
        <v/>
      </c>
      <c r="CI61" s="70" t="str">
        <f>IF($AF61="○",(VLOOKUP($CB61,参照データ!$D$65:$J$82,5,0)),"")</f>
        <v/>
      </c>
      <c r="CJ61" s="71" t="str">
        <f t="shared" si="5"/>
        <v/>
      </c>
      <c r="CK61" s="70" t="str">
        <f>IF($AH61="○",(VLOOKUP($CB61,参照データ!$D$65:$J$82,6,0)),"")</f>
        <v/>
      </c>
      <c r="CL61" s="71" t="str">
        <f t="shared" si="15"/>
        <v/>
      </c>
      <c r="CM61" s="33" t="str">
        <f t="shared" si="16"/>
        <v/>
      </c>
      <c r="CN61" s="32" t="str">
        <f t="shared" si="17"/>
        <v/>
      </c>
      <c r="CO61" s="71" t="str">
        <f t="shared" si="18"/>
        <v/>
      </c>
      <c r="CP61" s="682"/>
      <c r="CQ61" s="77" t="s">
        <v>134</v>
      </c>
      <c r="CR61" s="78" t="str">
        <f t="shared" si="19"/>
        <v/>
      </c>
      <c r="CS61" s="684"/>
      <c r="CT61" s="308" t="str">
        <f t="shared" ref="CT61" si="109">$CT60</f>
        <v/>
      </c>
      <c r="CU61" s="70"/>
      <c r="CV61" s="172" t="str">
        <f t="shared" si="20"/>
        <v/>
      </c>
      <c r="CX61" s="32"/>
      <c r="CY61" s="161" t="str">
        <f t="shared" si="21"/>
        <v/>
      </c>
      <c r="CZ61" s="744"/>
      <c r="DA61" s="164" t="s">
        <v>134</v>
      </c>
      <c r="DB61" s="165" t="str">
        <f t="shared" si="42"/>
        <v/>
      </c>
      <c r="DC61" s="742"/>
      <c r="DD61" t="str">
        <f>IF($DE61="","",DATEDIF($AW61,参照データ!$D$19,"Y"))</f>
        <v/>
      </c>
      <c r="DE61" s="253" t="str">
        <f>IFERROR(IF($AX61="男子",VLOOKUP($DL61,参照データ!$D$88:$E$117,2,0),$DL61),0)</f>
        <v/>
      </c>
      <c r="DF61" s="84" t="str">
        <f>IF($Z61="選手権",(VLOOKUP($DE61,参照データ!$D$88:$K$117,3,0)),"")</f>
        <v/>
      </c>
      <c r="DG61" s="85" t="str">
        <f t="shared" si="6"/>
        <v/>
      </c>
      <c r="DH61" s="84" t="str">
        <f>IF($AB61="選手権",(VLOOKUP($DE61,参照データ!$D$88:$K$117,4,0)),"")</f>
        <v/>
      </c>
      <c r="DI61" s="85" t="str">
        <f t="shared" si="7"/>
        <v/>
      </c>
      <c r="DJ61" s="84" t="str">
        <f>IF($AD61="選手権",(VLOOKUP($DE61,参照データ!$D$88:$K$117,5,0)),"")</f>
        <v/>
      </c>
      <c r="DK61" s="85" t="str">
        <f t="shared" si="8"/>
        <v/>
      </c>
      <c r="DL61" s="53" t="str">
        <f>IF(AND($AW61&gt;=参照データ!$C$90,$AW61&lt;=参照データ!$C$88),1,IF(AND($AW61&gt;=参照データ!$C$93,$AW61&lt;=参照データ!$C$91),2,IF(AND($AW61&gt;=参照データ!$C$99,$AW61&lt;=参照データ!$C$97),3,IF(AND($AW61&gt;=参照データ!$C$105,$AW61&lt;=参照データ!$C$103),4,IF(AND($AW61&gt;=参照データ!$C$111,$AW61&lt;=参照データ!$C$109),5,IF(AND($AW61&gt;0,$AW61&lt;=参照データ!$C$112),6,""))))))</f>
        <v/>
      </c>
      <c r="DM61" s="84" t="str">
        <f>IF($AF61="選手権",(VLOOKUP($DL61,参照データ!$D$88:$K$117,6,0)),"")</f>
        <v/>
      </c>
      <c r="DN61" s="85" t="str">
        <f t="shared" si="9"/>
        <v/>
      </c>
      <c r="DO61" s="84" t="str">
        <f>IF($AH61="選手権",(VLOOKUP($DL61,参照データ!$D$88:$K$117,7,0)),"")</f>
        <v/>
      </c>
      <c r="DP61" s="85" t="str">
        <f t="shared" si="22"/>
        <v/>
      </c>
      <c r="DQ61" s="33" t="str">
        <f t="shared" si="23"/>
        <v/>
      </c>
      <c r="DR61" s="32" t="str">
        <f t="shared" si="24"/>
        <v/>
      </c>
      <c r="DS61" s="85" t="str">
        <f t="shared" si="25"/>
        <v/>
      </c>
      <c r="DT61" s="733"/>
      <c r="DU61" s="91" t="s">
        <v>134</v>
      </c>
      <c r="DV61" s="92" t="str">
        <f t="shared" si="35"/>
        <v/>
      </c>
      <c r="DW61" s="735"/>
      <c r="DX61" s="312" t="str">
        <f t="shared" ref="DX61" si="110">$DX60</f>
        <v/>
      </c>
      <c r="DZ61" s="491" t="str">
        <f t="shared" si="26"/>
        <v/>
      </c>
      <c r="EE61" s="35">
        <f>(COUNTIF($J61:$O61,"&lt;&gt;"))*参照データ!$E$3</f>
        <v>0</v>
      </c>
      <c r="EF61" s="219" t="str">
        <f>IF($Y61="○",参照データ!$E$4,"")</f>
        <v/>
      </c>
      <c r="EG61" s="18">
        <f>(SUM(COUNTIF($R61:$V61,{"入門","初級"}))*参照データ!$E$9)+(SUM(COUNTIF($R61:$V61,{"中級","上級"})*参照データ!$E$10))</f>
        <v>0</v>
      </c>
      <c r="EH61" s="18">
        <f>IFERROR(VLOOKUP($W61,参照データ!$D$9:$J$11,7,0),0)</f>
        <v>0</v>
      </c>
      <c r="EI61" s="18">
        <f>((COUNTIF($Z61:$AH61,"○"))*参照データ!$E$12)</f>
        <v>0</v>
      </c>
      <c r="EJ61" s="18" t="str">
        <f>(IF($AJ61="○",参照データ!$J$12,""))</f>
        <v/>
      </c>
      <c r="EM61" s="18">
        <f>((COUNTIF($Z61:$AH61,"選手権"))*参照データ!$E$13)</f>
        <v>0</v>
      </c>
      <c r="EN61" s="18" t="str">
        <f>(IF($AJ61="選手権",参照データ!$J$13,""))</f>
        <v/>
      </c>
      <c r="EO61" s="18">
        <f>(COUNTIF($AQ61:$AR61,"&lt;&gt;"))*参照データ!$H$3</f>
        <v>0</v>
      </c>
      <c r="EP61" s="18"/>
      <c r="EQ61" s="98">
        <f t="array" ref="EQ61">SUM(IF(ISERROR(EE61:EN61),0,(EE61:EN61)))</f>
        <v>0</v>
      </c>
      <c r="ER61" s="18"/>
      <c r="ES61" s="18">
        <f t="shared" si="10"/>
        <v>0</v>
      </c>
      <c r="ET61" s="18">
        <f t="shared" si="36"/>
        <v>0</v>
      </c>
      <c r="EU61" s="18">
        <f t="shared" si="27"/>
        <v>0</v>
      </c>
      <c r="EV61" s="18">
        <f>COUNTIF($Z61:$AN61,"○")</f>
        <v>0</v>
      </c>
      <c r="EW61" s="18">
        <f t="shared" si="29"/>
        <v>0</v>
      </c>
      <c r="EX61" s="18">
        <f t="shared" si="30"/>
        <v>0</v>
      </c>
      <c r="EY61" t="str">
        <f t="shared" si="31"/>
        <v/>
      </c>
    </row>
    <row r="62" spans="1:155" ht="18.75" customHeight="1" x14ac:dyDescent="0.2">
      <c r="A62">
        <v>51</v>
      </c>
      <c r="B62" s="14" t="str">
        <f>IF(D62="","",IF(D62="重複","",COUNTIF(B$12:$B61,"&gt;0")+1))</f>
        <v/>
      </c>
      <c r="C62" s="464"/>
      <c r="D62" s="177"/>
      <c r="E62" s="177"/>
      <c r="F62" s="31"/>
      <c r="G62" s="41"/>
      <c r="H62" s="351">
        <f t="shared" si="32"/>
        <v>0</v>
      </c>
      <c r="I62" s="193" t="str">
        <f>IF($AW62=0,"",DATEDIF($AW62,参照データ!$D$16,"Y"))</f>
        <v/>
      </c>
      <c r="J62" s="517"/>
      <c r="K62" s="517"/>
      <c r="L62" s="517"/>
      <c r="M62" s="517"/>
      <c r="N62" s="517"/>
      <c r="O62" s="518"/>
      <c r="P62" s="345"/>
      <c r="Q62" s="345"/>
      <c r="R62" s="519"/>
      <c r="S62" s="244"/>
      <c r="T62" s="244"/>
      <c r="U62" s="244"/>
      <c r="V62" s="245"/>
      <c r="W62" s="248"/>
      <c r="X62" s="250"/>
      <c r="Y62" s="345"/>
      <c r="Z62" s="388"/>
      <c r="AA62" s="346" t="str">
        <f>IF($Z62="○",VLOOKUP($CB62,参照データ!$D$65:$M$82,9,0),IF($Z62="選手権",VLOOKUP($DE62,参照データ!$D$88:$O$117,10,0),""))</f>
        <v/>
      </c>
      <c r="AB62" s="388"/>
      <c r="AC62" s="346" t="str">
        <f>IF($AB62="○",VLOOKUP($CB62,参照データ!$D$65:$M$82,10,0),IF($AB62="選手権",VLOOKUP($DE62,参照データ!$D$88:$O$117,11,0),""))</f>
        <v/>
      </c>
      <c r="AD62" s="388"/>
      <c r="AE62" s="346" t="str">
        <f>IF($AD62="○",VLOOKUP($CB62,参照データ!$D$65:$M$82,10,0),IF($AD62="選手権",VLOOKUP($DE62,参照データ!$D$88:$O$117,11,0),""))</f>
        <v/>
      </c>
      <c r="AF62" s="388"/>
      <c r="AG62" s="346" t="str">
        <f>IF($AF62="○",VLOOKUP($CB62,参照データ!$D$65:$M$82,10,0),IF($AF62="選手権",VLOOKUP($DL62,参照データ!$D$88:$O$117,12,0),""))</f>
        <v/>
      </c>
      <c r="AH62" s="388"/>
      <c r="AI62" s="346" t="str">
        <f>IF($AH62="○",VLOOKUP($CB62,参照データ!$D$65:$M$82,10,0),IF($AH62="選手権",VLOOKUP($DL62,参照データ!$D$88:$O$117,12,0),""))</f>
        <v/>
      </c>
      <c r="AJ62" s="388"/>
      <c r="AK62" s="511"/>
      <c r="AL62" s="346" t="str">
        <f t="shared" si="3"/>
        <v/>
      </c>
      <c r="AM62" s="392"/>
      <c r="AN62" s="391"/>
      <c r="AO62" s="391"/>
      <c r="AP62" s="447"/>
      <c r="AQ62" s="321"/>
      <c r="AR62" s="481"/>
      <c r="AS62" s="393"/>
      <c r="AT62" s="483"/>
      <c r="AW62">
        <f t="shared" si="45"/>
        <v>0</v>
      </c>
      <c r="AX62" t="str">
        <f t="shared" si="33"/>
        <v/>
      </c>
      <c r="AY62" s="132"/>
      <c r="BA62" s="513" t="str">
        <f>IF(団体情報・入力の仕方!$C$3&lt;&gt;"大田区大会","",IF(AW62=0,"",IF(I62&gt;=18,"○","")))</f>
        <v/>
      </c>
      <c r="BB62" s="53" t="str">
        <f>IF($AW62=0,"",IF(AND($I62&gt;=6,$I62&lt;=19),VLOOKUP($I62,参照データ!$B$24:$C$37,2,0),IF($I62&lt;6,6,19)))</f>
        <v/>
      </c>
      <c r="BC62" s="155" t="str">
        <f>IF($J62="○",VLOOKUP($BB62,参照データ!$C$24:$I$37,2,0),"")</f>
        <v/>
      </c>
      <c r="BD62" s="146" t="str">
        <f>IF($K62="○",VLOOKUP($BB62,参照データ!$C$24:$I$37,3,0),"")</f>
        <v/>
      </c>
      <c r="BE62" s="146" t="str">
        <f>IF($L62="○",VLOOKUP($BB62,参照データ!$C$24:$I$37,4,0),"")</f>
        <v/>
      </c>
      <c r="BF62" s="146" t="str">
        <f>IF($M62="○",VLOOKUP($BB62,参照データ!$C$24:$I$37,5,0),"")</f>
        <v/>
      </c>
      <c r="BG62" s="146" t="str">
        <f>IF($N62="20日",VLOOKUP($BB62,参照データ!$C$24:$I$37,6,0),"")</f>
        <v/>
      </c>
      <c r="BH62" s="156" t="str">
        <f>IF($O62="20日",VLOOKUP($BB62,参照データ!$C$24:$I$37,7,0),"")</f>
        <v/>
      </c>
      <c r="BI62" s="155" t="str">
        <f>IF($J62="21日",VLOOKUP($BB62,参照データ!$C$24:$I$37,2,0),"")</f>
        <v/>
      </c>
      <c r="BJ62" s="146" t="str">
        <f>IF($K62="21日",VLOOKUP($BB62,参照データ!$C$24:$I$37,3,0),"")</f>
        <v/>
      </c>
      <c r="BK62" s="146" t="str">
        <f>IF($L62="21日",VLOOKUP($BB62,参照データ!$C$24:$I$37,4,0),"")</f>
        <v/>
      </c>
      <c r="BL62" s="146" t="str">
        <f>IF($M62="21日",VLOOKUP($BB62,参照データ!$C$24:$I$37,5,0),"")</f>
        <v/>
      </c>
      <c r="BM62" s="146" t="str">
        <f>IF($N62="21日",VLOOKUP($BB62,参照データ!$C$24:$I$37,6,0),"")</f>
        <v/>
      </c>
      <c r="BN62" s="156" t="str">
        <f>IF($O62="21日",VLOOKUP($BB62,参照データ!$C$24:$I$37,7,0),"")</f>
        <v/>
      </c>
      <c r="BO62" s="223" t="str">
        <f t="shared" si="40"/>
        <v/>
      </c>
      <c r="BP62" s="154" t="str">
        <f>IF($R62="入門",VLOOKUP($BB62,参照データ!$C$43:$U$56,2,0),IF($R62="初級",VLOOKUP($BB62,参照データ!$C$43:$U$56,3,0),IF($R62="中級",VLOOKUP($BB62,参照データ!$C$43:$U$56,4,0),IF($R62="上級",VLOOKUP($BB62,参照データ!$C$43:$U$56,5,0),""))))</f>
        <v/>
      </c>
      <c r="BQ62" s="154" t="str">
        <f>IF($S62="初級",VLOOKUP($BB62,参照データ!$C$43:$U$56,6,0),IF($S62="中級",VLOOKUP($BB62,参照データ!$C$43:$U$56,7,0),IF($S62="上級",VLOOKUP($BB62,参照データ!$C$43:$U$56,8,0),"")))</f>
        <v/>
      </c>
      <c r="BR62" s="154" t="str">
        <f>IF($T62="初級",VLOOKUP($BB62,参照データ!$C$43:$U$56,9,0),IF($T62="上級",VLOOKUP($BB62,参照データ!$C$43:$U$56,10,0),""))</f>
        <v/>
      </c>
      <c r="BS62" s="154" t="str">
        <f>IF($U62="初級",VLOOKUP($BB62,参照データ!$C$43:$U$56,11,0),IF($U62="中級",VLOOKUP($BB62,参照データ!$C$43:$U$56,12,0),IF($U62="上級",VLOOKUP($BB62,参照データ!$C$43:$U$56,13,0),"")))</f>
        <v/>
      </c>
      <c r="BT62" s="154" t="str">
        <f>IF($V62="初級",VLOOKUP($BB62,参照データ!$C$43:$U$56,14,0),IF($V62="中級",VLOOKUP($BB62,参照データ!$C$43:$U$56,15,0),IF($V62="上級",VLOOKUP($BB62,参照データ!$C$43:$U$56,16,0),"")))</f>
        <v/>
      </c>
      <c r="BU62" s="47" t="str">
        <f t="shared" si="4"/>
        <v/>
      </c>
      <c r="BV62" s="47" t="str">
        <f>IF($W62="初級",VLOOKUP($BB62,参照データ!$C$43:$U$56,17,0),IF($W62="中級",VLOOKUP($BB62,参照データ!$C$43:$U$56,18,0),IF($W62="上級",VLOOKUP($BB62,参照データ!$C$43:$U$56,19,0),"")))</f>
        <v/>
      </c>
      <c r="BW62" s="686">
        <v>26</v>
      </c>
      <c r="BX62" s="66" t="s">
        <v>135</v>
      </c>
      <c r="BY62" s="136" t="str">
        <f t="shared" si="11"/>
        <v/>
      </c>
      <c r="BZ62" s="688" t="str">
        <f t="shared" ref="BZ62" si="111">IF(OR($BY62="",$BY63=""),"",IF($BY62&gt;$BY63,$BY62,$BY63))</f>
        <v/>
      </c>
      <c r="CB62" s="53" t="str">
        <f>IF(AND($AW62&gt;=参照データ!$C$67,$AW62&lt;=参照データ!$C$65),1,IF(AND($AW62&gt;=参照データ!$C$70,$AW62&lt;=参照データ!$C$68),2,IF(AND($AW62&gt;=参照データ!$C$73,$AW62&lt;=参照データ!$C$71),3,IF(AND($AW62&gt;=参照データ!$C$76,$AW62&lt;=参照データ!$C$74),4,IF(AND($AW62&gt;=参照データ!$C$79,$AW62&lt;=参照データ!$C$77),5,IF(AND($AW62&gt;0,$AW62&lt;=参照データ!$C$80),6,""))))))</f>
        <v/>
      </c>
      <c r="CC62" s="141" t="str">
        <f>IF($Z62="○",(VLOOKUP($CB62,参照データ!$D$65:$J$82,2,0)),"")</f>
        <v/>
      </c>
      <c r="CD62" s="71" t="str">
        <f t="shared" si="12"/>
        <v/>
      </c>
      <c r="CE62" s="70" t="str">
        <f>IF($AB62="○",(VLOOKUP($CB62,参照データ!$D$65:$J$82,3,0)),"")</f>
        <v/>
      </c>
      <c r="CF62" s="71" t="str">
        <f t="shared" si="13"/>
        <v/>
      </c>
      <c r="CG62" s="70" t="str">
        <f>IF($AD62="○",(VLOOKUP($CB62,参照データ!$D$65:$J$82,4,0)),"")</f>
        <v/>
      </c>
      <c r="CH62" s="71" t="str">
        <f t="shared" si="14"/>
        <v/>
      </c>
      <c r="CI62" s="70" t="str">
        <f>IF($AF62="○",(VLOOKUP($CB62,参照データ!$D$65:$J$82,5,0)),"")</f>
        <v/>
      </c>
      <c r="CJ62" s="71" t="str">
        <f t="shared" si="5"/>
        <v/>
      </c>
      <c r="CK62" s="70" t="str">
        <f>IF($AH62="○",(VLOOKUP($CB62,参照データ!$D$65:$J$82,6,0)),"")</f>
        <v/>
      </c>
      <c r="CL62" s="71" t="str">
        <f t="shared" si="15"/>
        <v/>
      </c>
      <c r="CM62" s="33" t="str">
        <f t="shared" si="16"/>
        <v/>
      </c>
      <c r="CN62" s="32" t="str">
        <f t="shared" si="17"/>
        <v/>
      </c>
      <c r="CO62" s="71" t="str">
        <f t="shared" si="18"/>
        <v/>
      </c>
      <c r="CP62" s="681">
        <v>26</v>
      </c>
      <c r="CQ62" s="79" t="s">
        <v>135</v>
      </c>
      <c r="CR62" s="80" t="str">
        <f t="shared" si="19"/>
        <v/>
      </c>
      <c r="CS62" s="683" t="e">
        <f>IF($CR62&gt;$CR63,VLOOKUP($CR62,参照データ!$D$65:$J$82,7,0),VLOOKUP($CR63,参照データ!$D$65:$J$82,7,0))</f>
        <v>#N/A</v>
      </c>
      <c r="CT62" s="308" t="str">
        <f>IFERROR(VLOOKUP($CS62,参照データ!$J$65:$M$82,4,0),"")</f>
        <v/>
      </c>
      <c r="CU62" s="70"/>
      <c r="CV62" s="172" t="str">
        <f t="shared" si="20"/>
        <v/>
      </c>
      <c r="CX62" s="32"/>
      <c r="CY62" s="161" t="str">
        <f t="shared" si="21"/>
        <v/>
      </c>
      <c r="CZ62" s="743">
        <v>26</v>
      </c>
      <c r="DA62" s="166" t="s">
        <v>135</v>
      </c>
      <c r="DB62" s="167" t="str">
        <f t="shared" si="42"/>
        <v/>
      </c>
      <c r="DC62" s="741" t="str">
        <f>IF(OR(DB62="",DB63=""),"",IF(DB62&gt;DB63,DB62,DB63))</f>
        <v/>
      </c>
      <c r="DD62" t="str">
        <f>IF($DE62="","",DATEDIF($AW62,参照データ!$D$19,"Y"))</f>
        <v/>
      </c>
      <c r="DE62" s="253" t="str">
        <f>IFERROR(IF($AX62="男子",VLOOKUP($DL62,参照データ!$D$88:$E$117,2,0),$DL62),0)</f>
        <v/>
      </c>
      <c r="DF62" s="84" t="str">
        <f>IF($Z62="選手権",(VLOOKUP($DE62,参照データ!$D$88:$K$117,3,0)),"")</f>
        <v/>
      </c>
      <c r="DG62" s="85" t="str">
        <f t="shared" si="6"/>
        <v/>
      </c>
      <c r="DH62" s="84" t="str">
        <f>IF($AB62="選手権",(VLOOKUP($DE62,参照データ!$D$88:$K$117,4,0)),"")</f>
        <v/>
      </c>
      <c r="DI62" s="85" t="str">
        <f t="shared" si="7"/>
        <v/>
      </c>
      <c r="DJ62" s="84" t="str">
        <f>IF($AD62="選手権",(VLOOKUP($DE62,参照データ!$D$88:$K$117,5,0)),"")</f>
        <v/>
      </c>
      <c r="DK62" s="85" t="str">
        <f t="shared" si="8"/>
        <v/>
      </c>
      <c r="DL62" s="53" t="str">
        <f>IF(AND($AW62&gt;=参照データ!$C$90,$AW62&lt;=参照データ!$C$88),1,IF(AND($AW62&gt;=参照データ!$C$93,$AW62&lt;=参照データ!$C$91),2,IF(AND($AW62&gt;=参照データ!$C$99,$AW62&lt;=参照データ!$C$97),3,IF(AND($AW62&gt;=参照データ!$C$105,$AW62&lt;=参照データ!$C$103),4,IF(AND($AW62&gt;=参照データ!$C$111,$AW62&lt;=参照データ!$C$109),5,IF(AND($AW62&gt;0,$AW62&lt;=参照データ!$C$112),6,""))))))</f>
        <v/>
      </c>
      <c r="DM62" s="84" t="str">
        <f>IF($AF62="選手権",(VLOOKUP($DL62,参照データ!$D$88:$K$117,6,0)),"")</f>
        <v/>
      </c>
      <c r="DN62" s="85" t="str">
        <f t="shared" si="9"/>
        <v/>
      </c>
      <c r="DO62" s="84" t="str">
        <f>IF($AH62="選手権",(VLOOKUP($DL62,参照データ!$D$88:$K$117,7,0)),"")</f>
        <v/>
      </c>
      <c r="DP62" s="85" t="str">
        <f t="shared" si="22"/>
        <v/>
      </c>
      <c r="DQ62" s="33" t="str">
        <f t="shared" si="23"/>
        <v/>
      </c>
      <c r="DR62" s="32" t="str">
        <f t="shared" si="24"/>
        <v/>
      </c>
      <c r="DS62" s="85" t="str">
        <f t="shared" si="25"/>
        <v/>
      </c>
      <c r="DT62" s="736">
        <v>26</v>
      </c>
      <c r="DU62" s="93" t="s">
        <v>135</v>
      </c>
      <c r="DV62" s="94" t="str">
        <f t="shared" si="35"/>
        <v/>
      </c>
      <c r="DW62" s="737" t="e">
        <f>IF($DV62&gt;$DV63,VLOOKUP($DV62,参照データ!$D$88:$K$117,8,0),VLOOKUP($DV63,参照データ!$D$88:$K$117,8,0))</f>
        <v>#N/A</v>
      </c>
      <c r="DX62" s="312" t="str">
        <f>IFERROR(VLOOKUP($DW62,参照データ!$K$88:$O$117,5,0),"")</f>
        <v/>
      </c>
      <c r="DZ62" s="491" t="str">
        <f t="shared" si="26"/>
        <v/>
      </c>
      <c r="EE62" s="35">
        <f>(COUNTIF($J62:$O62,"&lt;&gt;"))*参照データ!$E$3</f>
        <v>0</v>
      </c>
      <c r="EF62" s="219" t="str">
        <f>IF($Y62="○",参照データ!$E$4,"")</f>
        <v/>
      </c>
      <c r="EG62" s="18">
        <f>(SUM(COUNTIF($R62:$V62,{"入門","初級"}))*参照データ!$E$9)+(SUM(COUNTIF($R62:$V62,{"中級","上級"})*参照データ!$E$10))</f>
        <v>0</v>
      </c>
      <c r="EH62" s="18">
        <f>IFERROR(VLOOKUP($W62,参照データ!$D$9:$J$11,7,0),0)</f>
        <v>0</v>
      </c>
      <c r="EI62" s="18">
        <f>((COUNTIF($Z62:$AH62,"○"))*参照データ!$E$12)</f>
        <v>0</v>
      </c>
      <c r="EJ62" s="18" t="str">
        <f>(IF($AJ62="○",参照データ!$J$12,""))</f>
        <v/>
      </c>
      <c r="EM62" s="18">
        <f>((COUNTIF($Z62:$AH62,"選手権"))*参照データ!$E$13)</f>
        <v>0</v>
      </c>
      <c r="EN62" s="18" t="str">
        <f>(IF($AJ62="選手権",参照データ!$J$13,""))</f>
        <v/>
      </c>
      <c r="EO62" s="18">
        <f>(COUNTIF($AQ62:$AR62,"&lt;&gt;"))*参照データ!$H$3</f>
        <v>0</v>
      </c>
      <c r="EP62" s="18"/>
      <c r="EQ62" s="98">
        <f t="array" ref="EQ62">SUM(IF(ISERROR(EE62:EN62),0,(EE62:EN62)))</f>
        <v>0</v>
      </c>
      <c r="ER62" s="18"/>
      <c r="ES62" s="18">
        <f t="shared" si="10"/>
        <v>0</v>
      </c>
      <c r="ET62" s="18">
        <f t="shared" si="36"/>
        <v>0</v>
      </c>
      <c r="EU62" s="18">
        <f t="shared" si="27"/>
        <v>0</v>
      </c>
      <c r="EV62" s="18">
        <f t="shared" ref="EV62:EV71" si="112">COUNTIF($Z62:$AN62,"○")</f>
        <v>0</v>
      </c>
      <c r="EW62" s="18">
        <f t="shared" si="29"/>
        <v>0</v>
      </c>
      <c r="EX62" s="18">
        <f t="shared" si="30"/>
        <v>0</v>
      </c>
      <c r="EY62" t="str">
        <f t="shared" si="31"/>
        <v/>
      </c>
    </row>
    <row r="63" spans="1:155" ht="18.75" customHeight="1" x14ac:dyDescent="0.2">
      <c r="A63">
        <v>52</v>
      </c>
      <c r="B63" s="14" t="str">
        <f>IF(D63="","",IF(D63="重複","",COUNTIF(B$12:$B62,"&gt;0")+1))</f>
        <v/>
      </c>
      <c r="C63" s="464"/>
      <c r="D63" s="177"/>
      <c r="E63" s="177"/>
      <c r="F63" s="31"/>
      <c r="G63" s="41"/>
      <c r="H63" s="351">
        <f t="shared" si="32"/>
        <v>0</v>
      </c>
      <c r="I63" s="193" t="str">
        <f>IF($AW63=0,"",DATEDIF($AW63,参照データ!$D$16,"Y"))</f>
        <v/>
      </c>
      <c r="J63" s="517"/>
      <c r="K63" s="517"/>
      <c r="L63" s="517"/>
      <c r="M63" s="517"/>
      <c r="N63" s="517"/>
      <c r="O63" s="518"/>
      <c r="P63" s="345"/>
      <c r="Q63" s="345"/>
      <c r="R63" s="519"/>
      <c r="S63" s="244"/>
      <c r="T63" s="244"/>
      <c r="U63" s="244"/>
      <c r="V63" s="245"/>
      <c r="W63" s="248"/>
      <c r="X63" s="250"/>
      <c r="Y63" s="345"/>
      <c r="Z63" s="388"/>
      <c r="AA63" s="346" t="str">
        <f>IF($Z63="○",VLOOKUP($CB63,参照データ!$D$65:$M$82,9,0),IF($Z63="選手権",VLOOKUP($DE63,参照データ!$D$88:$O$117,10,0),""))</f>
        <v/>
      </c>
      <c r="AB63" s="388"/>
      <c r="AC63" s="346" t="str">
        <f>IF($AB63="○",VLOOKUP($CB63,参照データ!$D$65:$M$82,10,0),IF($AB63="選手権",VLOOKUP($DE63,参照データ!$D$88:$O$117,11,0),""))</f>
        <v/>
      </c>
      <c r="AD63" s="388"/>
      <c r="AE63" s="346" t="str">
        <f>IF($AD63="○",VLOOKUP($CB63,参照データ!$D$65:$M$82,10,0),IF($AD63="選手権",VLOOKUP($DE63,参照データ!$D$88:$O$117,11,0),""))</f>
        <v/>
      </c>
      <c r="AF63" s="388"/>
      <c r="AG63" s="346" t="str">
        <f>IF($AF63="○",VLOOKUP($CB63,参照データ!$D$65:$M$82,10,0),IF($AF63="選手権",VLOOKUP($DL63,参照データ!$D$88:$O$117,12,0),""))</f>
        <v/>
      </c>
      <c r="AH63" s="388"/>
      <c r="AI63" s="346" t="str">
        <f>IF($AH63="○",VLOOKUP($CB63,参照データ!$D$65:$M$82,10,0),IF($AH63="選手権",VLOOKUP($DL63,参照データ!$D$88:$O$117,12,0),""))</f>
        <v/>
      </c>
      <c r="AJ63" s="388"/>
      <c r="AK63" s="511"/>
      <c r="AL63" s="346" t="str">
        <f t="shared" si="3"/>
        <v/>
      </c>
      <c r="AM63" s="392"/>
      <c r="AN63" s="391"/>
      <c r="AO63" s="391"/>
      <c r="AP63" s="447"/>
      <c r="AQ63" s="321"/>
      <c r="AR63" s="481"/>
      <c r="AS63" s="393"/>
      <c r="AT63" s="483"/>
      <c r="AW63">
        <f t="shared" si="45"/>
        <v>0</v>
      </c>
      <c r="AX63" t="str">
        <f t="shared" si="33"/>
        <v/>
      </c>
      <c r="AY63" s="132"/>
      <c r="BA63" s="513" t="str">
        <f>IF(団体情報・入力の仕方!$C$3&lt;&gt;"大田区大会","",IF(AW63=0,"",IF(I63&gt;=18,"○","")))</f>
        <v/>
      </c>
      <c r="BB63" s="53" t="str">
        <f>IF($AW63=0,"",IF(AND($I63&gt;=6,$I63&lt;=19),VLOOKUP($I63,参照データ!$B$24:$C$37,2,0),IF($I63&lt;6,6,19)))</f>
        <v/>
      </c>
      <c r="BC63" s="155" t="str">
        <f>IF($J63="○",VLOOKUP($BB63,参照データ!$C$24:$I$37,2,0),"")</f>
        <v/>
      </c>
      <c r="BD63" s="146" t="str">
        <f>IF($K63="○",VLOOKUP($BB63,参照データ!$C$24:$I$37,3,0),"")</f>
        <v/>
      </c>
      <c r="BE63" s="146" t="str">
        <f>IF($L63="○",VLOOKUP($BB63,参照データ!$C$24:$I$37,4,0),"")</f>
        <v/>
      </c>
      <c r="BF63" s="146" t="str">
        <f>IF($M63="○",VLOOKUP($BB63,参照データ!$C$24:$I$37,5,0),"")</f>
        <v/>
      </c>
      <c r="BG63" s="146" t="str">
        <f>IF($N63="20日",VLOOKUP($BB63,参照データ!$C$24:$I$37,6,0),"")</f>
        <v/>
      </c>
      <c r="BH63" s="156" t="str">
        <f>IF($O63="20日",VLOOKUP($BB63,参照データ!$C$24:$I$37,7,0),"")</f>
        <v/>
      </c>
      <c r="BI63" s="155" t="str">
        <f>IF($J63="21日",VLOOKUP($BB63,参照データ!$C$24:$I$37,2,0),"")</f>
        <v/>
      </c>
      <c r="BJ63" s="146" t="str">
        <f>IF($K63="21日",VLOOKUP($BB63,参照データ!$C$24:$I$37,3,0),"")</f>
        <v/>
      </c>
      <c r="BK63" s="146" t="str">
        <f>IF($L63="21日",VLOOKUP($BB63,参照データ!$C$24:$I$37,4,0),"")</f>
        <v/>
      </c>
      <c r="BL63" s="146" t="str">
        <f>IF($M63="21日",VLOOKUP($BB63,参照データ!$C$24:$I$37,5,0),"")</f>
        <v/>
      </c>
      <c r="BM63" s="146" t="str">
        <f>IF($N63="21日",VLOOKUP($BB63,参照データ!$C$24:$I$37,6,0),"")</f>
        <v/>
      </c>
      <c r="BN63" s="156" t="str">
        <f>IF($O63="21日",VLOOKUP($BB63,参照データ!$C$24:$I$37,7,0),"")</f>
        <v/>
      </c>
      <c r="BO63" s="223" t="str">
        <f t="shared" si="40"/>
        <v/>
      </c>
      <c r="BP63" s="154" t="str">
        <f>IF($R63="入門",VLOOKUP($BB63,参照データ!$C$43:$U$56,2,0),IF($R63="初級",VLOOKUP($BB63,参照データ!$C$43:$U$56,3,0),IF($R63="中級",VLOOKUP($BB63,参照データ!$C$43:$U$56,4,0),IF($R63="上級",VLOOKUP($BB63,参照データ!$C$43:$U$56,5,0),""))))</f>
        <v/>
      </c>
      <c r="BQ63" s="154" t="str">
        <f>IF($S63="初級",VLOOKUP($BB63,参照データ!$C$43:$U$56,6,0),IF($S63="中級",VLOOKUP($BB63,参照データ!$C$43:$U$56,7,0),IF($S63="上級",VLOOKUP($BB63,参照データ!$C$43:$U$56,8,0),"")))</f>
        <v/>
      </c>
      <c r="BR63" s="154" t="str">
        <f>IF($T63="初級",VLOOKUP($BB63,参照データ!$C$43:$U$56,9,0),IF($T63="上級",VLOOKUP($BB63,参照データ!$C$43:$U$56,10,0),""))</f>
        <v/>
      </c>
      <c r="BS63" s="154" t="str">
        <f>IF($U63="初級",VLOOKUP($BB63,参照データ!$C$43:$U$56,11,0),IF($U63="中級",VLOOKUP($BB63,参照データ!$C$43:$U$56,12,0),IF($U63="上級",VLOOKUP($BB63,参照データ!$C$43:$U$56,13,0),"")))</f>
        <v/>
      </c>
      <c r="BT63" s="154" t="str">
        <f>IF($V63="初級",VLOOKUP($BB63,参照データ!$C$43:$U$56,14,0),IF($V63="中級",VLOOKUP($BB63,参照データ!$C$43:$U$56,15,0),IF($V63="上級",VLOOKUP($BB63,参照データ!$C$43:$U$56,16,0),"")))</f>
        <v/>
      </c>
      <c r="BU63" s="47" t="str">
        <f t="shared" si="4"/>
        <v/>
      </c>
      <c r="BV63" s="47" t="str">
        <f>IF($W63="初級",VLOOKUP($BB63,参照データ!$C$43:$U$56,17,0),IF($W63="中級",VLOOKUP($BB63,参照データ!$C$43:$U$56,18,0),IF($W63="上級",VLOOKUP($BB63,参照データ!$C$43:$U$56,19,0),"")))</f>
        <v/>
      </c>
      <c r="BW63" s="687"/>
      <c r="BX63" s="65" t="s">
        <v>136</v>
      </c>
      <c r="BY63" s="135" t="str">
        <f t="shared" si="11"/>
        <v/>
      </c>
      <c r="BZ63" s="689"/>
      <c r="CB63" s="53" t="str">
        <f>IF(AND($AW63&gt;=参照データ!$C$67,$AW63&lt;=参照データ!$C$65),1,IF(AND($AW63&gt;=参照データ!$C$70,$AW63&lt;=参照データ!$C$68),2,IF(AND($AW63&gt;=参照データ!$C$73,$AW63&lt;=参照データ!$C$71),3,IF(AND($AW63&gt;=参照データ!$C$76,$AW63&lt;=参照データ!$C$74),4,IF(AND($AW63&gt;=参照データ!$C$79,$AW63&lt;=参照データ!$C$77),5,IF(AND($AW63&gt;0,$AW63&lt;=参照データ!$C$80),6,""))))))</f>
        <v/>
      </c>
      <c r="CC63" s="141" t="str">
        <f>IF($Z63="○",(VLOOKUP($CB63,参照データ!$D$65:$J$82,2,0)),"")</f>
        <v/>
      </c>
      <c r="CD63" s="71" t="str">
        <f t="shared" si="12"/>
        <v/>
      </c>
      <c r="CE63" s="70" t="str">
        <f>IF($AB63="○",(VLOOKUP($CB63,参照データ!$D$65:$J$82,3,0)),"")</f>
        <v/>
      </c>
      <c r="CF63" s="71" t="str">
        <f t="shared" si="13"/>
        <v/>
      </c>
      <c r="CG63" s="70" t="str">
        <f>IF($AD63="○",(VLOOKUP($CB63,参照データ!$D$65:$J$82,4,0)),"")</f>
        <v/>
      </c>
      <c r="CH63" s="71" t="str">
        <f t="shared" si="14"/>
        <v/>
      </c>
      <c r="CI63" s="70" t="str">
        <f>IF($AF63="○",(VLOOKUP($CB63,参照データ!$D$65:$J$82,5,0)),"")</f>
        <v/>
      </c>
      <c r="CJ63" s="71" t="str">
        <f t="shared" si="5"/>
        <v/>
      </c>
      <c r="CK63" s="70" t="str">
        <f>IF($AH63="○",(VLOOKUP($CB63,参照データ!$D$65:$J$82,6,0)),"")</f>
        <v/>
      </c>
      <c r="CL63" s="71" t="str">
        <f t="shared" si="15"/>
        <v/>
      </c>
      <c r="CM63" s="33" t="str">
        <f t="shared" si="16"/>
        <v/>
      </c>
      <c r="CN63" s="32" t="str">
        <f t="shared" si="17"/>
        <v/>
      </c>
      <c r="CO63" s="71" t="str">
        <f t="shared" si="18"/>
        <v/>
      </c>
      <c r="CP63" s="682"/>
      <c r="CQ63" s="77" t="s">
        <v>136</v>
      </c>
      <c r="CR63" s="78" t="str">
        <f t="shared" si="19"/>
        <v/>
      </c>
      <c r="CS63" s="684"/>
      <c r="CT63" s="308" t="str">
        <f t="shared" ref="CT63" si="113">$CT62</f>
        <v/>
      </c>
      <c r="CU63" s="70"/>
      <c r="CV63" s="172" t="str">
        <f t="shared" si="20"/>
        <v/>
      </c>
      <c r="CX63" s="32"/>
      <c r="CY63" s="161" t="str">
        <f t="shared" si="21"/>
        <v/>
      </c>
      <c r="CZ63" s="744"/>
      <c r="DA63" s="164" t="s">
        <v>136</v>
      </c>
      <c r="DB63" s="165" t="str">
        <f t="shared" si="42"/>
        <v/>
      </c>
      <c r="DC63" s="742"/>
      <c r="DD63" t="str">
        <f>IF($DE63="","",DATEDIF($AW63,参照データ!$D$19,"Y"))</f>
        <v/>
      </c>
      <c r="DE63" s="253" t="str">
        <f>IFERROR(IF($AX63="男子",VLOOKUP($DL63,参照データ!$D$88:$E$117,2,0),$DL63),0)</f>
        <v/>
      </c>
      <c r="DF63" s="84" t="str">
        <f>IF($Z63="選手権",(VLOOKUP($DE63,参照データ!$D$88:$K$117,3,0)),"")</f>
        <v/>
      </c>
      <c r="DG63" s="85" t="str">
        <f t="shared" si="6"/>
        <v/>
      </c>
      <c r="DH63" s="84" t="str">
        <f>IF($AB63="選手権",(VLOOKUP($DE63,参照データ!$D$88:$K$117,4,0)),"")</f>
        <v/>
      </c>
      <c r="DI63" s="85" t="str">
        <f t="shared" si="7"/>
        <v/>
      </c>
      <c r="DJ63" s="84" t="str">
        <f>IF($AD63="選手権",(VLOOKUP($DE63,参照データ!$D$88:$K$117,5,0)),"")</f>
        <v/>
      </c>
      <c r="DK63" s="85" t="str">
        <f t="shared" si="8"/>
        <v/>
      </c>
      <c r="DL63" s="53" t="str">
        <f>IF(AND($AW63&gt;=参照データ!$C$90,$AW63&lt;=参照データ!$C$88),1,IF(AND($AW63&gt;=参照データ!$C$93,$AW63&lt;=参照データ!$C$91),2,IF(AND($AW63&gt;=参照データ!$C$99,$AW63&lt;=参照データ!$C$97),3,IF(AND($AW63&gt;=参照データ!$C$105,$AW63&lt;=参照データ!$C$103),4,IF(AND($AW63&gt;=参照データ!$C$111,$AW63&lt;=参照データ!$C$109),5,IF(AND($AW63&gt;0,$AW63&lt;=参照データ!$C$112),6,""))))))</f>
        <v/>
      </c>
      <c r="DM63" s="84" t="str">
        <f>IF($AF63="選手権",(VLOOKUP($DL63,参照データ!$D$88:$K$117,6,0)),"")</f>
        <v/>
      </c>
      <c r="DN63" s="85" t="str">
        <f t="shared" si="9"/>
        <v/>
      </c>
      <c r="DO63" s="84" t="str">
        <f>IF($AH63="選手権",(VLOOKUP($DL63,参照データ!$D$88:$K$117,7,0)),"")</f>
        <v/>
      </c>
      <c r="DP63" s="85" t="str">
        <f t="shared" si="22"/>
        <v/>
      </c>
      <c r="DQ63" s="33" t="str">
        <f t="shared" si="23"/>
        <v/>
      </c>
      <c r="DR63" s="32" t="str">
        <f t="shared" si="24"/>
        <v/>
      </c>
      <c r="DS63" s="85" t="str">
        <f t="shared" si="25"/>
        <v/>
      </c>
      <c r="DT63" s="733"/>
      <c r="DU63" s="91" t="s">
        <v>136</v>
      </c>
      <c r="DV63" s="92" t="str">
        <f t="shared" si="35"/>
        <v/>
      </c>
      <c r="DW63" s="735"/>
      <c r="DX63" s="312" t="str">
        <f t="shared" ref="DX63" si="114">$DX62</f>
        <v/>
      </c>
      <c r="DZ63" s="491" t="str">
        <f t="shared" si="26"/>
        <v/>
      </c>
      <c r="EE63" s="35">
        <f>(COUNTIF($J63:$O63,"&lt;&gt;"))*参照データ!$E$3</f>
        <v>0</v>
      </c>
      <c r="EF63" s="219" t="str">
        <f>IF($Y63="○",参照データ!$E$4,"")</f>
        <v/>
      </c>
      <c r="EG63" s="18">
        <f>(SUM(COUNTIF($R63:$V63,{"入門","初級"}))*参照データ!$E$9)+(SUM(COUNTIF($R63:$V63,{"中級","上級"})*参照データ!$E$10))</f>
        <v>0</v>
      </c>
      <c r="EH63" s="18">
        <f>IFERROR(VLOOKUP($W63,参照データ!$D$9:$J$11,7,0),0)</f>
        <v>0</v>
      </c>
      <c r="EI63" s="18">
        <f>((COUNTIF($Z63:$AH63,"○"))*参照データ!$E$12)</f>
        <v>0</v>
      </c>
      <c r="EJ63" s="18" t="str">
        <f>(IF($AJ63="○",参照データ!$J$12,""))</f>
        <v/>
      </c>
      <c r="EM63" s="18">
        <f>((COUNTIF($Z63:$AH63,"選手権"))*参照データ!$E$13)</f>
        <v>0</v>
      </c>
      <c r="EN63" s="18" t="str">
        <f>(IF($AJ63="選手権",参照データ!$J$13,""))</f>
        <v/>
      </c>
      <c r="EO63" s="18">
        <f>(COUNTIF($AQ63:$AR63,"&lt;&gt;"))*参照データ!$H$3</f>
        <v>0</v>
      </c>
      <c r="EP63" s="18"/>
      <c r="EQ63" s="98">
        <f t="array" ref="EQ63">SUM(IF(ISERROR(EE63:EN63),0,(EE63:EN63)))</f>
        <v>0</v>
      </c>
      <c r="ER63" s="18"/>
      <c r="ES63" s="18">
        <f t="shared" si="10"/>
        <v>0</v>
      </c>
      <c r="ET63" s="18">
        <f t="shared" si="36"/>
        <v>0</v>
      </c>
      <c r="EU63" s="18">
        <f t="shared" si="27"/>
        <v>0</v>
      </c>
      <c r="EV63" s="18">
        <f t="shared" si="112"/>
        <v>0</v>
      </c>
      <c r="EW63" s="18">
        <f t="shared" si="29"/>
        <v>0</v>
      </c>
      <c r="EX63" s="18">
        <f t="shared" si="30"/>
        <v>0</v>
      </c>
      <c r="EY63" t="str">
        <f t="shared" si="31"/>
        <v/>
      </c>
    </row>
    <row r="64" spans="1:155" ht="18.75" customHeight="1" x14ac:dyDescent="0.2">
      <c r="A64">
        <v>53</v>
      </c>
      <c r="B64" s="14" t="str">
        <f>IF(D64="","",IF(D64="重複","",COUNTIF(B$12:$B63,"&gt;0")+1))</f>
        <v/>
      </c>
      <c r="C64" s="464"/>
      <c r="D64" s="177"/>
      <c r="E64" s="177"/>
      <c r="F64" s="31"/>
      <c r="G64" s="41"/>
      <c r="H64" s="351">
        <f t="shared" si="32"/>
        <v>0</v>
      </c>
      <c r="I64" s="193" t="str">
        <f>IF($AW64=0,"",DATEDIF($AW64,参照データ!$D$16,"Y"))</f>
        <v/>
      </c>
      <c r="J64" s="517"/>
      <c r="K64" s="517"/>
      <c r="L64" s="517"/>
      <c r="M64" s="517"/>
      <c r="N64" s="517"/>
      <c r="O64" s="518"/>
      <c r="P64" s="345"/>
      <c r="Q64" s="345"/>
      <c r="R64" s="519"/>
      <c r="S64" s="244"/>
      <c r="T64" s="244"/>
      <c r="U64" s="244"/>
      <c r="V64" s="245"/>
      <c r="W64" s="248"/>
      <c r="X64" s="250"/>
      <c r="Y64" s="345"/>
      <c r="Z64" s="388"/>
      <c r="AA64" s="346" t="str">
        <f>IF($Z64="○",VLOOKUP($CB64,参照データ!$D$65:$M$82,9,0),IF($Z64="選手権",VLOOKUP($DE64,参照データ!$D$88:$O$117,10,0),""))</f>
        <v/>
      </c>
      <c r="AB64" s="388"/>
      <c r="AC64" s="346" t="str">
        <f>IF($AB64="○",VLOOKUP($CB64,参照データ!$D$65:$M$82,10,0),IF($AB64="選手権",VLOOKUP($DE64,参照データ!$D$88:$O$117,11,0),""))</f>
        <v/>
      </c>
      <c r="AD64" s="388"/>
      <c r="AE64" s="346" t="str">
        <f>IF($AD64="○",VLOOKUP($CB64,参照データ!$D$65:$M$82,10,0),IF($AD64="選手権",VLOOKUP($DE64,参照データ!$D$88:$O$117,11,0),""))</f>
        <v/>
      </c>
      <c r="AF64" s="388"/>
      <c r="AG64" s="346" t="str">
        <f>IF($AF64="○",VLOOKUP($CB64,参照データ!$D$65:$M$82,10,0),IF($AF64="選手権",VLOOKUP($DL64,参照データ!$D$88:$O$117,12,0),""))</f>
        <v/>
      </c>
      <c r="AH64" s="388"/>
      <c r="AI64" s="346" t="str">
        <f>IF($AH64="○",VLOOKUP($CB64,参照データ!$D$65:$M$82,10,0),IF($AH64="選手権",VLOOKUP($DL64,参照データ!$D$88:$O$117,12,0),""))</f>
        <v/>
      </c>
      <c r="AJ64" s="388"/>
      <c r="AK64" s="511"/>
      <c r="AL64" s="346" t="str">
        <f t="shared" si="3"/>
        <v/>
      </c>
      <c r="AM64" s="392"/>
      <c r="AN64" s="391"/>
      <c r="AO64" s="391"/>
      <c r="AP64" s="447"/>
      <c r="AQ64" s="321"/>
      <c r="AR64" s="481"/>
      <c r="AS64" s="393"/>
      <c r="AT64" s="483"/>
      <c r="AW64">
        <f t="shared" si="45"/>
        <v>0</v>
      </c>
      <c r="AX64" t="str">
        <f t="shared" si="33"/>
        <v/>
      </c>
      <c r="AY64" s="132"/>
      <c r="BA64" s="513" t="str">
        <f>IF(団体情報・入力の仕方!$C$3&lt;&gt;"大田区大会","",IF(AW64=0,"",IF(I64&gt;=18,"○","")))</f>
        <v/>
      </c>
      <c r="BB64" s="53" t="str">
        <f>IF($AW64=0,"",IF(AND($I64&gt;=6,$I64&lt;=19),VLOOKUP($I64,参照データ!$B$24:$C$37,2,0),IF($I64&lt;6,6,19)))</f>
        <v/>
      </c>
      <c r="BC64" s="155" t="str">
        <f>IF($J64="○",VLOOKUP($BB64,参照データ!$C$24:$I$37,2,0),"")</f>
        <v/>
      </c>
      <c r="BD64" s="146" t="str">
        <f>IF($K64="○",VLOOKUP($BB64,参照データ!$C$24:$I$37,3,0),"")</f>
        <v/>
      </c>
      <c r="BE64" s="146" t="str">
        <f>IF($L64="○",VLOOKUP($BB64,参照データ!$C$24:$I$37,4,0),"")</f>
        <v/>
      </c>
      <c r="BF64" s="146" t="str">
        <f>IF($M64="○",VLOOKUP($BB64,参照データ!$C$24:$I$37,5,0),"")</f>
        <v/>
      </c>
      <c r="BG64" s="146" t="str">
        <f>IF($N64="20日",VLOOKUP($BB64,参照データ!$C$24:$I$37,6,0),"")</f>
        <v/>
      </c>
      <c r="BH64" s="156" t="str">
        <f>IF($O64="20日",VLOOKUP($BB64,参照データ!$C$24:$I$37,7,0),"")</f>
        <v/>
      </c>
      <c r="BI64" s="155" t="str">
        <f>IF($J64="21日",VLOOKUP($BB64,参照データ!$C$24:$I$37,2,0),"")</f>
        <v/>
      </c>
      <c r="BJ64" s="146" t="str">
        <f>IF($K64="21日",VLOOKUP($BB64,参照データ!$C$24:$I$37,3,0),"")</f>
        <v/>
      </c>
      <c r="BK64" s="146" t="str">
        <f>IF($L64="21日",VLOOKUP($BB64,参照データ!$C$24:$I$37,4,0),"")</f>
        <v/>
      </c>
      <c r="BL64" s="146" t="str">
        <f>IF($M64="21日",VLOOKUP($BB64,参照データ!$C$24:$I$37,5,0),"")</f>
        <v/>
      </c>
      <c r="BM64" s="146" t="str">
        <f>IF($N64="21日",VLOOKUP($BB64,参照データ!$C$24:$I$37,6,0),"")</f>
        <v/>
      </c>
      <c r="BN64" s="156" t="str">
        <f>IF($O64="21日",VLOOKUP($BB64,参照データ!$C$24:$I$37,7,0),"")</f>
        <v/>
      </c>
      <c r="BO64" s="223" t="str">
        <f t="shared" si="40"/>
        <v/>
      </c>
      <c r="BP64" s="154" t="str">
        <f>IF($R64="入門",VLOOKUP($BB64,参照データ!$C$43:$U$56,2,0),IF($R64="初級",VLOOKUP($BB64,参照データ!$C$43:$U$56,3,0),IF($R64="中級",VLOOKUP($BB64,参照データ!$C$43:$U$56,4,0),IF($R64="上級",VLOOKUP($BB64,参照データ!$C$43:$U$56,5,0),""))))</f>
        <v/>
      </c>
      <c r="BQ64" s="154" t="str">
        <f>IF($S64="初級",VLOOKUP($BB64,参照データ!$C$43:$U$56,6,0),IF($S64="中級",VLOOKUP($BB64,参照データ!$C$43:$U$56,7,0),IF($S64="上級",VLOOKUP($BB64,参照データ!$C$43:$U$56,8,0),"")))</f>
        <v/>
      </c>
      <c r="BR64" s="154" t="str">
        <f>IF($T64="初級",VLOOKUP($BB64,参照データ!$C$43:$U$56,9,0),IF($T64="上級",VLOOKUP($BB64,参照データ!$C$43:$U$56,10,0),""))</f>
        <v/>
      </c>
      <c r="BS64" s="154" t="str">
        <f>IF($U64="初級",VLOOKUP($BB64,参照データ!$C$43:$U$56,11,0),IF($U64="中級",VLOOKUP($BB64,参照データ!$C$43:$U$56,12,0),IF($U64="上級",VLOOKUP($BB64,参照データ!$C$43:$U$56,13,0),"")))</f>
        <v/>
      </c>
      <c r="BT64" s="154" t="str">
        <f>IF($V64="初級",VLOOKUP($BB64,参照データ!$C$43:$U$56,14,0),IF($V64="中級",VLOOKUP($BB64,参照データ!$C$43:$U$56,15,0),IF($V64="上級",VLOOKUP($BB64,参照データ!$C$43:$U$56,16,0),"")))</f>
        <v/>
      </c>
      <c r="BU64" s="47" t="str">
        <f t="shared" si="4"/>
        <v/>
      </c>
      <c r="BV64" s="47" t="str">
        <f>IF($W64="初級",VLOOKUP($BB64,参照データ!$C$43:$U$56,17,0),IF($W64="中級",VLOOKUP($BB64,参照データ!$C$43:$U$56,18,0),IF($W64="上級",VLOOKUP($BB64,参照データ!$C$43:$U$56,19,0),"")))</f>
        <v/>
      </c>
      <c r="BW64" s="686">
        <v>27</v>
      </c>
      <c r="BX64" s="66" t="s">
        <v>137</v>
      </c>
      <c r="BY64" s="136" t="str">
        <f t="shared" si="11"/>
        <v/>
      </c>
      <c r="BZ64" s="688" t="str">
        <f t="shared" ref="BZ64" si="115">IF(OR($BY64="",$BY65=""),"",IF($BY64&gt;$BY65,$BY64,$BY65))</f>
        <v/>
      </c>
      <c r="CB64" s="53" t="str">
        <f>IF(AND($AW64&gt;=参照データ!$C$67,$AW64&lt;=参照データ!$C$65),1,IF(AND($AW64&gt;=参照データ!$C$70,$AW64&lt;=参照データ!$C$68),2,IF(AND($AW64&gt;=参照データ!$C$73,$AW64&lt;=参照データ!$C$71),3,IF(AND($AW64&gt;=参照データ!$C$76,$AW64&lt;=参照データ!$C$74),4,IF(AND($AW64&gt;=参照データ!$C$79,$AW64&lt;=参照データ!$C$77),5,IF(AND($AW64&gt;0,$AW64&lt;=参照データ!$C$80),6,""))))))</f>
        <v/>
      </c>
      <c r="CC64" s="141" t="str">
        <f>IF($Z64="○",(VLOOKUP($CB64,参照データ!$D$65:$J$82,2,0)),"")</f>
        <v/>
      </c>
      <c r="CD64" s="71" t="str">
        <f t="shared" si="12"/>
        <v/>
      </c>
      <c r="CE64" s="70" t="str">
        <f>IF($AB64="○",(VLOOKUP($CB64,参照データ!$D$65:$J$82,3,0)),"")</f>
        <v/>
      </c>
      <c r="CF64" s="71" t="str">
        <f t="shared" si="13"/>
        <v/>
      </c>
      <c r="CG64" s="70" t="str">
        <f>IF($AD64="○",(VLOOKUP($CB64,参照データ!$D$65:$J$82,4,0)),"")</f>
        <v/>
      </c>
      <c r="CH64" s="71" t="str">
        <f t="shared" si="14"/>
        <v/>
      </c>
      <c r="CI64" s="70" t="str">
        <f>IF($AF64="○",(VLOOKUP($CB64,参照データ!$D$65:$J$82,5,0)),"")</f>
        <v/>
      </c>
      <c r="CJ64" s="71" t="str">
        <f t="shared" si="5"/>
        <v/>
      </c>
      <c r="CK64" s="70" t="str">
        <f>IF($AH64="○",(VLOOKUP($CB64,参照データ!$D$65:$J$82,6,0)),"")</f>
        <v/>
      </c>
      <c r="CL64" s="71" t="str">
        <f t="shared" si="15"/>
        <v/>
      </c>
      <c r="CM64" s="33" t="str">
        <f t="shared" si="16"/>
        <v/>
      </c>
      <c r="CN64" s="32" t="str">
        <f t="shared" si="17"/>
        <v/>
      </c>
      <c r="CO64" s="71" t="str">
        <f t="shared" si="18"/>
        <v/>
      </c>
      <c r="CP64" s="681">
        <v>27</v>
      </c>
      <c r="CQ64" s="79" t="s">
        <v>137</v>
      </c>
      <c r="CR64" s="80" t="str">
        <f t="shared" si="19"/>
        <v/>
      </c>
      <c r="CS64" s="683" t="e">
        <f>IF($CR64&gt;$CR65,VLOOKUP($CR64,参照データ!$D$65:$J$82,7,0),VLOOKUP($CR65,参照データ!$D$65:$J$82,7,0))</f>
        <v>#N/A</v>
      </c>
      <c r="CT64" s="308" t="str">
        <f>IFERROR(VLOOKUP($CS64,参照データ!$J$65:$M$82,4,0),"")</f>
        <v/>
      </c>
      <c r="CU64" s="70"/>
      <c r="CV64" s="172" t="str">
        <f t="shared" si="20"/>
        <v/>
      </c>
      <c r="CX64" s="32"/>
      <c r="CY64" s="161" t="str">
        <f t="shared" si="21"/>
        <v/>
      </c>
      <c r="CZ64" s="743">
        <v>27</v>
      </c>
      <c r="DA64" s="166" t="s">
        <v>137</v>
      </c>
      <c r="DB64" s="167" t="str">
        <f t="shared" si="42"/>
        <v/>
      </c>
      <c r="DC64" s="741" t="str">
        <f>IF(OR(DB64="",DB65=""),"",IF(DB64&gt;DB65,DB64,DB65))</f>
        <v/>
      </c>
      <c r="DD64" t="str">
        <f>IF($DE64="","",DATEDIF($AW64,参照データ!$D$19,"Y"))</f>
        <v/>
      </c>
      <c r="DE64" s="253" t="str">
        <f>IFERROR(IF($AX64="男子",VLOOKUP($DL64,参照データ!$D$88:$E$117,2,0),$DL64),0)</f>
        <v/>
      </c>
      <c r="DF64" s="84" t="str">
        <f>IF($Z64="選手権",(VLOOKUP($DE64,参照データ!$D$88:$K$117,3,0)),"")</f>
        <v/>
      </c>
      <c r="DG64" s="85" t="str">
        <f t="shared" si="6"/>
        <v/>
      </c>
      <c r="DH64" s="84" t="str">
        <f>IF($AB64="選手権",(VLOOKUP($DE64,参照データ!$D$88:$K$117,4,0)),"")</f>
        <v/>
      </c>
      <c r="DI64" s="85" t="str">
        <f t="shared" si="7"/>
        <v/>
      </c>
      <c r="DJ64" s="84" t="str">
        <f>IF($AD64="選手権",(VLOOKUP($DE64,参照データ!$D$88:$K$117,5,0)),"")</f>
        <v/>
      </c>
      <c r="DK64" s="85" t="str">
        <f t="shared" si="8"/>
        <v/>
      </c>
      <c r="DL64" s="53" t="str">
        <f>IF(AND($AW64&gt;=参照データ!$C$90,$AW64&lt;=参照データ!$C$88),1,IF(AND($AW64&gt;=参照データ!$C$93,$AW64&lt;=参照データ!$C$91),2,IF(AND($AW64&gt;=参照データ!$C$99,$AW64&lt;=参照データ!$C$97),3,IF(AND($AW64&gt;=参照データ!$C$105,$AW64&lt;=参照データ!$C$103),4,IF(AND($AW64&gt;=参照データ!$C$111,$AW64&lt;=参照データ!$C$109),5,IF(AND($AW64&gt;0,$AW64&lt;=参照データ!$C$112),6,""))))))</f>
        <v/>
      </c>
      <c r="DM64" s="84" t="str">
        <f>IF($AF64="選手権",(VLOOKUP($DL64,参照データ!$D$88:$K$117,6,0)),"")</f>
        <v/>
      </c>
      <c r="DN64" s="85" t="str">
        <f t="shared" si="9"/>
        <v/>
      </c>
      <c r="DO64" s="84" t="str">
        <f>IF($AH64="選手権",(VLOOKUP($DL64,参照データ!$D$88:$K$117,7,0)),"")</f>
        <v/>
      </c>
      <c r="DP64" s="85" t="str">
        <f t="shared" si="22"/>
        <v/>
      </c>
      <c r="DQ64" s="33" t="str">
        <f t="shared" si="23"/>
        <v/>
      </c>
      <c r="DR64" s="32" t="str">
        <f t="shared" si="24"/>
        <v/>
      </c>
      <c r="DS64" s="85" t="str">
        <f t="shared" si="25"/>
        <v/>
      </c>
      <c r="DT64" s="736">
        <v>27</v>
      </c>
      <c r="DU64" s="93" t="s">
        <v>137</v>
      </c>
      <c r="DV64" s="94" t="str">
        <f t="shared" si="35"/>
        <v/>
      </c>
      <c r="DW64" s="737" t="e">
        <f>IF($DV64&gt;$DV65,VLOOKUP($DV64,参照データ!$D$88:$K$117,8,0),VLOOKUP($DV65,参照データ!$D$88:$K$117,8,0))</f>
        <v>#N/A</v>
      </c>
      <c r="DX64" s="312" t="str">
        <f>IFERROR(VLOOKUP($DW64,参照データ!$K$88:$O$117,5,0),"")</f>
        <v/>
      </c>
      <c r="DZ64" s="491" t="str">
        <f t="shared" si="26"/>
        <v/>
      </c>
      <c r="EE64" s="35">
        <f>(COUNTIF($J64:$O64,"&lt;&gt;"))*参照データ!$E$3</f>
        <v>0</v>
      </c>
      <c r="EF64" s="219" t="str">
        <f>IF($Y64="○",参照データ!$E$4,"")</f>
        <v/>
      </c>
      <c r="EG64" s="18">
        <f>(SUM(COUNTIF($R64:$V64,{"入門","初級"}))*参照データ!$E$9)+(SUM(COUNTIF($R64:$V64,{"中級","上級"})*参照データ!$E$10))</f>
        <v>0</v>
      </c>
      <c r="EH64" s="18">
        <f>IFERROR(VLOOKUP($W64,参照データ!$D$9:$J$11,7,0),0)</f>
        <v>0</v>
      </c>
      <c r="EI64" s="18">
        <f>((COUNTIF($Z64:$AH64,"○"))*参照データ!$E$12)</f>
        <v>0</v>
      </c>
      <c r="EJ64" s="18" t="str">
        <f>(IF($AJ64="○",参照データ!$J$12,""))</f>
        <v/>
      </c>
      <c r="EM64" s="18">
        <f>((COUNTIF($Z64:$AH64,"選手権"))*参照データ!$E$13)</f>
        <v>0</v>
      </c>
      <c r="EN64" s="18" t="str">
        <f>(IF($AJ64="選手権",参照データ!$J$13,""))</f>
        <v/>
      </c>
      <c r="EO64" s="18">
        <f>(COUNTIF($AQ64:$AR64,"&lt;&gt;"))*参照データ!$H$3</f>
        <v>0</v>
      </c>
      <c r="EP64" s="18"/>
      <c r="EQ64" s="98">
        <f t="array" ref="EQ64">SUM(IF(ISERROR(EE64:EN64),0,(EE64:EN64)))</f>
        <v>0</v>
      </c>
      <c r="ER64" s="18"/>
      <c r="ES64" s="18">
        <f t="shared" si="10"/>
        <v>0</v>
      </c>
      <c r="ET64" s="18">
        <f t="shared" si="36"/>
        <v>0</v>
      </c>
      <c r="EU64" s="18">
        <f t="shared" si="27"/>
        <v>0</v>
      </c>
      <c r="EV64" s="18">
        <f t="shared" si="112"/>
        <v>0</v>
      </c>
      <c r="EW64" s="18">
        <f t="shared" si="29"/>
        <v>0</v>
      </c>
      <c r="EX64" s="18">
        <f t="shared" si="30"/>
        <v>0</v>
      </c>
      <c r="EY64" t="str">
        <f t="shared" si="31"/>
        <v/>
      </c>
    </row>
    <row r="65" spans="1:155" ht="18.75" customHeight="1" x14ac:dyDescent="0.2">
      <c r="A65">
        <v>54</v>
      </c>
      <c r="B65" s="14" t="str">
        <f>IF(D65="","",IF(D65="重複","",COUNTIF(B$12:$B64,"&gt;0")+1))</f>
        <v/>
      </c>
      <c r="C65" s="464"/>
      <c r="D65" s="177"/>
      <c r="E65" s="177"/>
      <c r="F65" s="31"/>
      <c r="G65" s="41"/>
      <c r="H65" s="351">
        <f t="shared" si="32"/>
        <v>0</v>
      </c>
      <c r="I65" s="193" t="str">
        <f>IF($AW65=0,"",DATEDIF($AW65,参照データ!$D$16,"Y"))</f>
        <v/>
      </c>
      <c r="J65" s="517"/>
      <c r="K65" s="517"/>
      <c r="L65" s="517"/>
      <c r="M65" s="517"/>
      <c r="N65" s="517"/>
      <c r="O65" s="518"/>
      <c r="P65" s="345"/>
      <c r="Q65" s="345"/>
      <c r="R65" s="519"/>
      <c r="S65" s="244"/>
      <c r="T65" s="244"/>
      <c r="U65" s="244"/>
      <c r="V65" s="245"/>
      <c r="W65" s="248"/>
      <c r="X65" s="250"/>
      <c r="Y65" s="345"/>
      <c r="Z65" s="388"/>
      <c r="AA65" s="346" t="str">
        <f>IF($Z65="○",VLOOKUP($CB65,参照データ!$D$65:$M$82,9,0),IF($Z65="選手権",VLOOKUP($DE65,参照データ!$D$88:$O$117,10,0),""))</f>
        <v/>
      </c>
      <c r="AB65" s="388"/>
      <c r="AC65" s="346" t="str">
        <f>IF($AB65="○",VLOOKUP($CB65,参照データ!$D$65:$M$82,10,0),IF($AB65="選手権",VLOOKUP($DE65,参照データ!$D$88:$O$117,11,0),""))</f>
        <v/>
      </c>
      <c r="AD65" s="388"/>
      <c r="AE65" s="346" t="str">
        <f>IF($AD65="○",VLOOKUP($CB65,参照データ!$D$65:$M$82,10,0),IF($AD65="選手権",VLOOKUP($DE65,参照データ!$D$88:$O$117,11,0),""))</f>
        <v/>
      </c>
      <c r="AF65" s="388"/>
      <c r="AG65" s="346" t="str">
        <f>IF($AF65="○",VLOOKUP($CB65,参照データ!$D$65:$M$82,10,0),IF($AF65="選手権",VLOOKUP($DL65,参照データ!$D$88:$O$117,12,0),""))</f>
        <v/>
      </c>
      <c r="AH65" s="388"/>
      <c r="AI65" s="346" t="str">
        <f>IF($AH65="○",VLOOKUP($CB65,参照データ!$D$65:$M$82,10,0),IF($AH65="選手権",VLOOKUP($DL65,参照データ!$D$88:$O$117,12,0),""))</f>
        <v/>
      </c>
      <c r="AJ65" s="388"/>
      <c r="AK65" s="511"/>
      <c r="AL65" s="346" t="str">
        <f t="shared" si="3"/>
        <v/>
      </c>
      <c r="AM65" s="392"/>
      <c r="AN65" s="391"/>
      <c r="AO65" s="391"/>
      <c r="AP65" s="447"/>
      <c r="AQ65" s="321"/>
      <c r="AR65" s="481"/>
      <c r="AS65" s="393"/>
      <c r="AT65" s="483"/>
      <c r="AW65">
        <f t="shared" si="45"/>
        <v>0</v>
      </c>
      <c r="AX65" t="str">
        <f t="shared" si="33"/>
        <v/>
      </c>
      <c r="AY65" s="132"/>
      <c r="BA65" s="513" t="str">
        <f>IF(団体情報・入力の仕方!$C$3&lt;&gt;"大田区大会","",IF(AW65=0,"",IF(I65&gt;=18,"○","")))</f>
        <v/>
      </c>
      <c r="BB65" s="53" t="str">
        <f>IF($AW65=0,"",IF(AND($I65&gt;=6,$I65&lt;=19),VLOOKUP($I65,参照データ!$B$24:$C$37,2,0),IF($I65&lt;6,6,19)))</f>
        <v/>
      </c>
      <c r="BC65" s="155" t="str">
        <f>IF($J65="○",VLOOKUP($BB65,参照データ!$C$24:$I$37,2,0),"")</f>
        <v/>
      </c>
      <c r="BD65" s="146" t="str">
        <f>IF($K65="○",VLOOKUP($BB65,参照データ!$C$24:$I$37,3,0),"")</f>
        <v/>
      </c>
      <c r="BE65" s="146" t="str">
        <f>IF($L65="○",VLOOKUP($BB65,参照データ!$C$24:$I$37,4,0),"")</f>
        <v/>
      </c>
      <c r="BF65" s="146" t="str">
        <f>IF($M65="○",VLOOKUP($BB65,参照データ!$C$24:$I$37,5,0),"")</f>
        <v/>
      </c>
      <c r="BG65" s="146" t="str">
        <f>IF($N65="20日",VLOOKUP($BB65,参照データ!$C$24:$I$37,6,0),"")</f>
        <v/>
      </c>
      <c r="BH65" s="156" t="str">
        <f>IF($O65="20日",VLOOKUP($BB65,参照データ!$C$24:$I$37,7,0),"")</f>
        <v/>
      </c>
      <c r="BI65" s="155" t="str">
        <f>IF($J65="21日",VLOOKUP($BB65,参照データ!$C$24:$I$37,2,0),"")</f>
        <v/>
      </c>
      <c r="BJ65" s="146" t="str">
        <f>IF($K65="21日",VLOOKUP($BB65,参照データ!$C$24:$I$37,3,0),"")</f>
        <v/>
      </c>
      <c r="BK65" s="146" t="str">
        <f>IF($L65="21日",VLOOKUP($BB65,参照データ!$C$24:$I$37,4,0),"")</f>
        <v/>
      </c>
      <c r="BL65" s="146" t="str">
        <f>IF($M65="21日",VLOOKUP($BB65,参照データ!$C$24:$I$37,5,0),"")</f>
        <v/>
      </c>
      <c r="BM65" s="146" t="str">
        <f>IF($N65="21日",VLOOKUP($BB65,参照データ!$C$24:$I$37,6,0),"")</f>
        <v/>
      </c>
      <c r="BN65" s="156" t="str">
        <f>IF($O65="21日",VLOOKUP($BB65,参照データ!$C$24:$I$37,7,0),"")</f>
        <v/>
      </c>
      <c r="BO65" s="223" t="str">
        <f t="shared" si="40"/>
        <v/>
      </c>
      <c r="BP65" s="154" t="str">
        <f>IF($R65="入門",VLOOKUP($BB65,参照データ!$C$43:$U$56,2,0),IF($R65="初級",VLOOKUP($BB65,参照データ!$C$43:$U$56,3,0),IF($R65="中級",VLOOKUP($BB65,参照データ!$C$43:$U$56,4,0),IF($R65="上級",VLOOKUP($BB65,参照データ!$C$43:$U$56,5,0),""))))</f>
        <v/>
      </c>
      <c r="BQ65" s="154" t="str">
        <f>IF($S65="初級",VLOOKUP($BB65,参照データ!$C$43:$U$56,6,0),IF($S65="中級",VLOOKUP($BB65,参照データ!$C$43:$U$56,7,0),IF($S65="上級",VLOOKUP($BB65,参照データ!$C$43:$U$56,8,0),"")))</f>
        <v/>
      </c>
      <c r="BR65" s="154" t="str">
        <f>IF($T65="初級",VLOOKUP($BB65,参照データ!$C$43:$U$56,9,0),IF($T65="上級",VLOOKUP($BB65,参照データ!$C$43:$U$56,10,0),""))</f>
        <v/>
      </c>
      <c r="BS65" s="154" t="str">
        <f>IF($U65="初級",VLOOKUP($BB65,参照データ!$C$43:$U$56,11,0),IF($U65="中級",VLOOKUP($BB65,参照データ!$C$43:$U$56,12,0),IF($U65="上級",VLOOKUP($BB65,参照データ!$C$43:$U$56,13,0),"")))</f>
        <v/>
      </c>
      <c r="BT65" s="154" t="str">
        <f>IF($V65="初級",VLOOKUP($BB65,参照データ!$C$43:$U$56,14,0),IF($V65="中級",VLOOKUP($BB65,参照データ!$C$43:$U$56,15,0),IF($V65="上級",VLOOKUP($BB65,参照データ!$C$43:$U$56,16,0),"")))</f>
        <v/>
      </c>
      <c r="BU65" s="47" t="str">
        <f t="shared" si="4"/>
        <v/>
      </c>
      <c r="BV65" s="47" t="str">
        <f>IF($W65="初級",VLOOKUP($BB65,参照データ!$C$43:$U$56,17,0),IF($W65="中級",VLOOKUP($BB65,参照データ!$C$43:$U$56,18,0),IF($W65="上級",VLOOKUP($BB65,参照データ!$C$43:$U$56,19,0),"")))</f>
        <v/>
      </c>
      <c r="BW65" s="687"/>
      <c r="BX65" s="65" t="s">
        <v>138</v>
      </c>
      <c r="BY65" s="135" t="str">
        <f t="shared" si="11"/>
        <v/>
      </c>
      <c r="BZ65" s="689"/>
      <c r="CB65" s="53" t="str">
        <f>IF(AND($AW65&gt;=参照データ!$C$67,$AW65&lt;=参照データ!$C$65),1,IF(AND($AW65&gt;=参照データ!$C$70,$AW65&lt;=参照データ!$C$68),2,IF(AND($AW65&gt;=参照データ!$C$73,$AW65&lt;=参照データ!$C$71),3,IF(AND($AW65&gt;=参照データ!$C$76,$AW65&lt;=参照データ!$C$74),4,IF(AND($AW65&gt;=参照データ!$C$79,$AW65&lt;=参照データ!$C$77),5,IF(AND($AW65&gt;0,$AW65&lt;=参照データ!$C$80),6,""))))))</f>
        <v/>
      </c>
      <c r="CC65" s="141" t="str">
        <f>IF($Z65="○",(VLOOKUP($CB65,参照データ!$D$65:$J$82,2,0)),"")</f>
        <v/>
      </c>
      <c r="CD65" s="71" t="str">
        <f t="shared" si="12"/>
        <v/>
      </c>
      <c r="CE65" s="70" t="str">
        <f>IF($AB65="○",(VLOOKUP($CB65,参照データ!$D$65:$J$82,3,0)),"")</f>
        <v/>
      </c>
      <c r="CF65" s="71" t="str">
        <f t="shared" si="13"/>
        <v/>
      </c>
      <c r="CG65" s="70" t="str">
        <f>IF($AD65="○",(VLOOKUP($CB65,参照データ!$D$65:$J$82,4,0)),"")</f>
        <v/>
      </c>
      <c r="CH65" s="71" t="str">
        <f t="shared" si="14"/>
        <v/>
      </c>
      <c r="CI65" s="70" t="str">
        <f>IF($AF65="○",(VLOOKUP($CB65,参照データ!$D$65:$J$82,5,0)),"")</f>
        <v/>
      </c>
      <c r="CJ65" s="71" t="str">
        <f t="shared" si="5"/>
        <v/>
      </c>
      <c r="CK65" s="70" t="str">
        <f>IF($AH65="○",(VLOOKUP($CB65,参照データ!$D$65:$J$82,6,0)),"")</f>
        <v/>
      </c>
      <c r="CL65" s="71" t="str">
        <f t="shared" si="15"/>
        <v/>
      </c>
      <c r="CM65" s="33" t="str">
        <f t="shared" si="16"/>
        <v/>
      </c>
      <c r="CN65" s="32" t="str">
        <f t="shared" si="17"/>
        <v/>
      </c>
      <c r="CO65" s="71" t="str">
        <f t="shared" si="18"/>
        <v/>
      </c>
      <c r="CP65" s="682"/>
      <c r="CQ65" s="77" t="s">
        <v>138</v>
      </c>
      <c r="CR65" s="78" t="str">
        <f t="shared" si="19"/>
        <v/>
      </c>
      <c r="CS65" s="684"/>
      <c r="CT65" s="308" t="str">
        <f t="shared" ref="CT65" si="116">$CT64</f>
        <v/>
      </c>
      <c r="CU65" s="70"/>
      <c r="CV65" s="172" t="str">
        <f t="shared" si="20"/>
        <v/>
      </c>
      <c r="CX65" s="32"/>
      <c r="CY65" s="161" t="str">
        <f t="shared" si="21"/>
        <v/>
      </c>
      <c r="CZ65" s="744"/>
      <c r="DA65" s="164" t="s">
        <v>138</v>
      </c>
      <c r="DB65" s="165" t="str">
        <f t="shared" si="42"/>
        <v/>
      </c>
      <c r="DC65" s="742"/>
      <c r="DD65" t="str">
        <f>IF($DE65="","",DATEDIF($AW65,参照データ!$D$19,"Y"))</f>
        <v/>
      </c>
      <c r="DE65" s="253" t="str">
        <f>IFERROR(IF($AX65="男子",VLOOKUP($DL65,参照データ!$D$88:$E$117,2,0),$DL65),0)</f>
        <v/>
      </c>
      <c r="DF65" s="84" t="str">
        <f>IF($Z65="選手権",(VLOOKUP($DE65,参照データ!$D$88:$K$117,3,0)),"")</f>
        <v/>
      </c>
      <c r="DG65" s="85" t="str">
        <f t="shared" si="6"/>
        <v/>
      </c>
      <c r="DH65" s="84" t="str">
        <f>IF($AB65="選手権",(VLOOKUP($DE65,参照データ!$D$88:$K$117,4,0)),"")</f>
        <v/>
      </c>
      <c r="DI65" s="85" t="str">
        <f t="shared" si="7"/>
        <v/>
      </c>
      <c r="DJ65" s="84" t="str">
        <f>IF($AD65="選手権",(VLOOKUP($DE65,参照データ!$D$88:$K$117,5,0)),"")</f>
        <v/>
      </c>
      <c r="DK65" s="85" t="str">
        <f t="shared" si="8"/>
        <v/>
      </c>
      <c r="DL65" s="53" t="str">
        <f>IF(AND($AW65&gt;=参照データ!$C$90,$AW65&lt;=参照データ!$C$88),1,IF(AND($AW65&gt;=参照データ!$C$93,$AW65&lt;=参照データ!$C$91),2,IF(AND($AW65&gt;=参照データ!$C$99,$AW65&lt;=参照データ!$C$97),3,IF(AND($AW65&gt;=参照データ!$C$105,$AW65&lt;=参照データ!$C$103),4,IF(AND($AW65&gt;=参照データ!$C$111,$AW65&lt;=参照データ!$C$109),5,IF(AND($AW65&gt;0,$AW65&lt;=参照データ!$C$112),6,""))))))</f>
        <v/>
      </c>
      <c r="DM65" s="84" t="str">
        <f>IF($AF65="選手権",(VLOOKUP($DL65,参照データ!$D$88:$K$117,6,0)),"")</f>
        <v/>
      </c>
      <c r="DN65" s="85" t="str">
        <f t="shared" si="9"/>
        <v/>
      </c>
      <c r="DO65" s="84" t="str">
        <f>IF($AH65="選手権",(VLOOKUP($DL65,参照データ!$D$88:$K$117,7,0)),"")</f>
        <v/>
      </c>
      <c r="DP65" s="85" t="str">
        <f t="shared" si="22"/>
        <v/>
      </c>
      <c r="DQ65" s="33" t="str">
        <f t="shared" si="23"/>
        <v/>
      </c>
      <c r="DR65" s="32" t="str">
        <f t="shared" si="24"/>
        <v/>
      </c>
      <c r="DS65" s="85" t="str">
        <f t="shared" si="25"/>
        <v/>
      </c>
      <c r="DT65" s="733"/>
      <c r="DU65" s="91" t="s">
        <v>138</v>
      </c>
      <c r="DV65" s="92" t="str">
        <f t="shared" si="35"/>
        <v/>
      </c>
      <c r="DW65" s="735"/>
      <c r="DX65" s="312" t="str">
        <f t="shared" ref="DX65" si="117">$DX64</f>
        <v/>
      </c>
      <c r="DZ65" s="491" t="str">
        <f t="shared" si="26"/>
        <v/>
      </c>
      <c r="EE65" s="35">
        <f>(COUNTIF($J65:$O65,"&lt;&gt;"))*参照データ!$E$3</f>
        <v>0</v>
      </c>
      <c r="EF65" s="219" t="str">
        <f>IF($Y65="○",参照データ!$E$4,"")</f>
        <v/>
      </c>
      <c r="EG65" s="18">
        <f>(SUM(COUNTIF($R65:$V65,{"入門","初級"}))*参照データ!$E$9)+(SUM(COUNTIF($R65:$V65,{"中級","上級"})*参照データ!$E$10))</f>
        <v>0</v>
      </c>
      <c r="EH65" s="18">
        <f>IFERROR(VLOOKUP($W65,参照データ!$D$9:$J$11,7,0),0)</f>
        <v>0</v>
      </c>
      <c r="EI65" s="18">
        <f>((COUNTIF($Z65:$AH65,"○"))*参照データ!$E$12)</f>
        <v>0</v>
      </c>
      <c r="EJ65" s="18" t="str">
        <f>(IF($AJ65="○",参照データ!$J$12,""))</f>
        <v/>
      </c>
      <c r="EM65" s="18">
        <f>((COUNTIF($Z65:$AH65,"選手権"))*参照データ!$E$13)</f>
        <v>0</v>
      </c>
      <c r="EN65" s="18" t="str">
        <f>(IF($AJ65="選手権",参照データ!$J$13,""))</f>
        <v/>
      </c>
      <c r="EO65" s="18">
        <f>(COUNTIF($AQ65:$AR65,"&lt;&gt;"))*参照データ!$H$3</f>
        <v>0</v>
      </c>
      <c r="EP65" s="18"/>
      <c r="EQ65" s="98">
        <f t="array" ref="EQ65">SUM(IF(ISERROR(EE65:EN65),0,(EE65:EN65)))</f>
        <v>0</v>
      </c>
      <c r="ER65" s="18"/>
      <c r="ES65" s="18">
        <f t="shared" si="10"/>
        <v>0</v>
      </c>
      <c r="ET65" s="18">
        <f t="shared" si="36"/>
        <v>0</v>
      </c>
      <c r="EU65" s="18">
        <f t="shared" si="27"/>
        <v>0</v>
      </c>
      <c r="EV65" s="18">
        <f t="shared" si="112"/>
        <v>0</v>
      </c>
      <c r="EW65" s="18">
        <f t="shared" si="29"/>
        <v>0</v>
      </c>
      <c r="EX65" s="18">
        <f t="shared" si="30"/>
        <v>0</v>
      </c>
      <c r="EY65" t="str">
        <f t="shared" si="31"/>
        <v/>
      </c>
    </row>
    <row r="66" spans="1:155" ht="18.75" customHeight="1" x14ac:dyDescent="0.2">
      <c r="A66">
        <v>55</v>
      </c>
      <c r="B66" s="14" t="str">
        <f>IF(D66="","",IF(D66="重複","",COUNTIF(B$12:$B65,"&gt;0")+1))</f>
        <v/>
      </c>
      <c r="C66" s="464"/>
      <c r="D66" s="177"/>
      <c r="E66" s="177"/>
      <c r="F66" s="31"/>
      <c r="G66" s="41"/>
      <c r="H66" s="351">
        <f t="shared" si="32"/>
        <v>0</v>
      </c>
      <c r="I66" s="193" t="str">
        <f>IF($AW66=0,"",DATEDIF($AW66,参照データ!$D$16,"Y"))</f>
        <v/>
      </c>
      <c r="J66" s="517"/>
      <c r="K66" s="517"/>
      <c r="L66" s="517"/>
      <c r="M66" s="517"/>
      <c r="N66" s="517"/>
      <c r="O66" s="518"/>
      <c r="P66" s="345"/>
      <c r="Q66" s="345"/>
      <c r="R66" s="519"/>
      <c r="S66" s="244"/>
      <c r="T66" s="244"/>
      <c r="U66" s="244"/>
      <c r="V66" s="245"/>
      <c r="W66" s="248"/>
      <c r="X66" s="250"/>
      <c r="Y66" s="345"/>
      <c r="Z66" s="388"/>
      <c r="AA66" s="346" t="str">
        <f>IF($Z66="○",VLOOKUP($CB66,参照データ!$D$65:$M$82,9,0),IF($Z66="選手権",VLOOKUP($DE66,参照データ!$D$88:$O$117,10,0),""))</f>
        <v/>
      </c>
      <c r="AB66" s="388"/>
      <c r="AC66" s="346" t="str">
        <f>IF($AB66="○",VLOOKUP($CB66,参照データ!$D$65:$M$82,10,0),IF($AB66="選手権",VLOOKUP($DE66,参照データ!$D$88:$O$117,11,0),""))</f>
        <v/>
      </c>
      <c r="AD66" s="388"/>
      <c r="AE66" s="346" t="str">
        <f>IF($AD66="○",VLOOKUP($CB66,参照データ!$D$65:$M$82,10,0),IF($AD66="選手権",VLOOKUP($DE66,参照データ!$D$88:$O$117,11,0),""))</f>
        <v/>
      </c>
      <c r="AF66" s="388"/>
      <c r="AG66" s="346" t="str">
        <f>IF($AF66="○",VLOOKUP($CB66,参照データ!$D$65:$M$82,10,0),IF($AF66="選手権",VLOOKUP($DL66,参照データ!$D$88:$O$117,12,0),""))</f>
        <v/>
      </c>
      <c r="AH66" s="388"/>
      <c r="AI66" s="346" t="str">
        <f>IF($AH66="○",VLOOKUP($CB66,参照データ!$D$65:$M$82,10,0),IF($AH66="選手権",VLOOKUP($DL66,参照データ!$D$88:$O$117,12,0),""))</f>
        <v/>
      </c>
      <c r="AJ66" s="388"/>
      <c r="AK66" s="511"/>
      <c r="AL66" s="346" t="str">
        <f t="shared" si="3"/>
        <v/>
      </c>
      <c r="AM66" s="392"/>
      <c r="AN66" s="391"/>
      <c r="AO66" s="391"/>
      <c r="AP66" s="447"/>
      <c r="AQ66" s="321"/>
      <c r="AR66" s="481"/>
      <c r="AS66" s="393"/>
      <c r="AT66" s="483"/>
      <c r="AW66">
        <f t="shared" si="45"/>
        <v>0</v>
      </c>
      <c r="AX66" t="str">
        <f t="shared" si="33"/>
        <v/>
      </c>
      <c r="AY66" s="132"/>
      <c r="BA66" s="513" t="str">
        <f>IF(団体情報・入力の仕方!$C$3&lt;&gt;"大田区大会","",IF(AW66=0,"",IF(I66&gt;=18,"○","")))</f>
        <v/>
      </c>
      <c r="BB66" s="53" t="str">
        <f>IF($AW66=0,"",IF(AND($I66&gt;=6,$I66&lt;=19),VLOOKUP($I66,参照データ!$B$24:$C$37,2,0),IF($I66&lt;6,6,19)))</f>
        <v/>
      </c>
      <c r="BC66" s="155" t="str">
        <f>IF($J66="○",VLOOKUP($BB66,参照データ!$C$24:$I$37,2,0),"")</f>
        <v/>
      </c>
      <c r="BD66" s="146" t="str">
        <f>IF($K66="○",VLOOKUP($BB66,参照データ!$C$24:$I$37,3,0),"")</f>
        <v/>
      </c>
      <c r="BE66" s="146" t="str">
        <f>IF($L66="○",VLOOKUP($BB66,参照データ!$C$24:$I$37,4,0),"")</f>
        <v/>
      </c>
      <c r="BF66" s="146" t="str">
        <f>IF($M66="○",VLOOKUP($BB66,参照データ!$C$24:$I$37,5,0),"")</f>
        <v/>
      </c>
      <c r="BG66" s="146" t="str">
        <f>IF($N66="20日",VLOOKUP($BB66,参照データ!$C$24:$I$37,6,0),"")</f>
        <v/>
      </c>
      <c r="BH66" s="156" t="str">
        <f>IF($O66="20日",VLOOKUP($BB66,参照データ!$C$24:$I$37,7,0),"")</f>
        <v/>
      </c>
      <c r="BI66" s="155" t="str">
        <f>IF($J66="21日",VLOOKUP($BB66,参照データ!$C$24:$I$37,2,0),"")</f>
        <v/>
      </c>
      <c r="BJ66" s="146" t="str">
        <f>IF($K66="21日",VLOOKUP($BB66,参照データ!$C$24:$I$37,3,0),"")</f>
        <v/>
      </c>
      <c r="BK66" s="146" t="str">
        <f>IF($L66="21日",VLOOKUP($BB66,参照データ!$C$24:$I$37,4,0),"")</f>
        <v/>
      </c>
      <c r="BL66" s="146" t="str">
        <f>IF($M66="21日",VLOOKUP($BB66,参照データ!$C$24:$I$37,5,0),"")</f>
        <v/>
      </c>
      <c r="BM66" s="146" t="str">
        <f>IF($N66="21日",VLOOKUP($BB66,参照データ!$C$24:$I$37,6,0),"")</f>
        <v/>
      </c>
      <c r="BN66" s="156" t="str">
        <f>IF($O66="21日",VLOOKUP($BB66,参照データ!$C$24:$I$37,7,0),"")</f>
        <v/>
      </c>
      <c r="BO66" s="223" t="str">
        <f t="shared" si="40"/>
        <v/>
      </c>
      <c r="BP66" s="154" t="str">
        <f>IF($R66="入門",VLOOKUP($BB66,参照データ!$C$43:$U$56,2,0),IF($R66="初級",VLOOKUP($BB66,参照データ!$C$43:$U$56,3,0),IF($R66="中級",VLOOKUP($BB66,参照データ!$C$43:$U$56,4,0),IF($R66="上級",VLOOKUP($BB66,参照データ!$C$43:$U$56,5,0),""))))</f>
        <v/>
      </c>
      <c r="BQ66" s="154" t="str">
        <f>IF($S66="初級",VLOOKUP($BB66,参照データ!$C$43:$U$56,6,0),IF($S66="中級",VLOOKUP($BB66,参照データ!$C$43:$U$56,7,0),IF($S66="上級",VLOOKUP($BB66,参照データ!$C$43:$U$56,8,0),"")))</f>
        <v/>
      </c>
      <c r="BR66" s="154" t="str">
        <f>IF($T66="初級",VLOOKUP($BB66,参照データ!$C$43:$U$56,9,0),IF($T66="上級",VLOOKUP($BB66,参照データ!$C$43:$U$56,10,0),""))</f>
        <v/>
      </c>
      <c r="BS66" s="154" t="str">
        <f>IF($U66="初級",VLOOKUP($BB66,参照データ!$C$43:$U$56,11,0),IF($U66="中級",VLOOKUP($BB66,参照データ!$C$43:$U$56,12,0),IF($U66="上級",VLOOKUP($BB66,参照データ!$C$43:$U$56,13,0),"")))</f>
        <v/>
      </c>
      <c r="BT66" s="154" t="str">
        <f>IF($V66="初級",VLOOKUP($BB66,参照データ!$C$43:$U$56,14,0),IF($V66="中級",VLOOKUP($BB66,参照データ!$C$43:$U$56,15,0),IF($V66="上級",VLOOKUP($BB66,参照データ!$C$43:$U$56,16,0),"")))</f>
        <v/>
      </c>
      <c r="BU66" s="47" t="str">
        <f t="shared" si="4"/>
        <v/>
      </c>
      <c r="BV66" s="47" t="str">
        <f>IF($W66="初級",VLOOKUP($BB66,参照データ!$C$43:$U$56,17,0),IF($W66="中級",VLOOKUP($BB66,参照データ!$C$43:$U$56,18,0),IF($W66="上級",VLOOKUP($BB66,参照データ!$C$43:$U$56,19,0),"")))</f>
        <v/>
      </c>
      <c r="BW66" s="686">
        <v>28</v>
      </c>
      <c r="BX66" s="66" t="s">
        <v>139</v>
      </c>
      <c r="BY66" s="136" t="str">
        <f t="shared" si="11"/>
        <v/>
      </c>
      <c r="BZ66" s="688" t="str">
        <f t="shared" ref="BZ66" si="118">IF(OR($BY66="",$BY67=""),"",IF($BY66&gt;$BY67,$BY66,$BY67))</f>
        <v/>
      </c>
      <c r="CB66" s="53" t="str">
        <f>IF(AND($AW66&gt;=参照データ!$C$67,$AW66&lt;=参照データ!$C$65),1,IF(AND($AW66&gt;=参照データ!$C$70,$AW66&lt;=参照データ!$C$68),2,IF(AND($AW66&gt;=参照データ!$C$73,$AW66&lt;=参照データ!$C$71),3,IF(AND($AW66&gt;=参照データ!$C$76,$AW66&lt;=参照データ!$C$74),4,IF(AND($AW66&gt;=参照データ!$C$79,$AW66&lt;=参照データ!$C$77),5,IF(AND($AW66&gt;0,$AW66&lt;=参照データ!$C$80),6,""))))))</f>
        <v/>
      </c>
      <c r="CC66" s="141" t="str">
        <f>IF($Z66="○",(VLOOKUP($CB66,参照データ!$D$65:$J$82,2,0)),"")</f>
        <v/>
      </c>
      <c r="CD66" s="71" t="str">
        <f t="shared" si="12"/>
        <v/>
      </c>
      <c r="CE66" s="70" t="str">
        <f>IF($AB66="○",(VLOOKUP($CB66,参照データ!$D$65:$J$82,3,0)),"")</f>
        <v/>
      </c>
      <c r="CF66" s="71" t="str">
        <f t="shared" si="13"/>
        <v/>
      </c>
      <c r="CG66" s="70" t="str">
        <f>IF($AD66="○",(VLOOKUP($CB66,参照データ!$D$65:$J$82,4,0)),"")</f>
        <v/>
      </c>
      <c r="CH66" s="71" t="str">
        <f t="shared" si="14"/>
        <v/>
      </c>
      <c r="CI66" s="70" t="str">
        <f>IF($AF66="○",(VLOOKUP($CB66,参照データ!$D$65:$J$82,5,0)),"")</f>
        <v/>
      </c>
      <c r="CJ66" s="71" t="str">
        <f t="shared" si="5"/>
        <v/>
      </c>
      <c r="CK66" s="70" t="str">
        <f>IF($AH66="○",(VLOOKUP($CB66,参照データ!$D$65:$J$82,6,0)),"")</f>
        <v/>
      </c>
      <c r="CL66" s="71" t="str">
        <f t="shared" si="15"/>
        <v/>
      </c>
      <c r="CM66" s="33" t="str">
        <f t="shared" si="16"/>
        <v/>
      </c>
      <c r="CN66" s="32" t="str">
        <f t="shared" si="17"/>
        <v/>
      </c>
      <c r="CO66" s="71" t="str">
        <f t="shared" si="18"/>
        <v/>
      </c>
      <c r="CP66" s="681">
        <v>28</v>
      </c>
      <c r="CQ66" s="79" t="s">
        <v>139</v>
      </c>
      <c r="CR66" s="80" t="str">
        <f t="shared" si="19"/>
        <v/>
      </c>
      <c r="CS66" s="683" t="e">
        <f>IF($CR66&gt;$CR67,VLOOKUP($CR66,参照データ!$D$65:$J$82,7,0),VLOOKUP($CR67,参照データ!$D$65:$J$82,7,0))</f>
        <v>#N/A</v>
      </c>
      <c r="CT66" s="308" t="str">
        <f>IFERROR(VLOOKUP($CS66,参照データ!$J$65:$M$82,4,0),"")</f>
        <v/>
      </c>
      <c r="CU66" s="70"/>
      <c r="CV66" s="172" t="str">
        <f t="shared" si="20"/>
        <v/>
      </c>
      <c r="CX66" s="32"/>
      <c r="CY66" s="161" t="str">
        <f t="shared" si="21"/>
        <v/>
      </c>
      <c r="CZ66" s="743">
        <v>28</v>
      </c>
      <c r="DA66" s="166" t="s">
        <v>139</v>
      </c>
      <c r="DB66" s="167" t="str">
        <f t="shared" si="42"/>
        <v/>
      </c>
      <c r="DC66" s="741" t="str">
        <f>IF(OR(DB66="",DB67=""),"",IF(DB66&gt;DB67,DB66,DB67))</f>
        <v/>
      </c>
      <c r="DD66" t="str">
        <f>IF($DE66="","",DATEDIF($AW66,参照データ!$D$19,"Y"))</f>
        <v/>
      </c>
      <c r="DE66" s="253" t="str">
        <f>IFERROR(IF($AX66="男子",VLOOKUP($DL66,参照データ!$D$88:$E$117,2,0),$DL66),0)</f>
        <v/>
      </c>
      <c r="DF66" s="84" t="str">
        <f>IF($Z66="選手権",(VLOOKUP($DE66,参照データ!$D$88:$K$117,3,0)),"")</f>
        <v/>
      </c>
      <c r="DG66" s="85" t="str">
        <f t="shared" si="6"/>
        <v/>
      </c>
      <c r="DH66" s="84" t="str">
        <f>IF($AB66="選手権",(VLOOKUP($DE66,参照データ!$D$88:$K$117,4,0)),"")</f>
        <v/>
      </c>
      <c r="DI66" s="85" t="str">
        <f t="shared" si="7"/>
        <v/>
      </c>
      <c r="DJ66" s="84" t="str">
        <f>IF($AD66="選手権",(VLOOKUP($DE66,参照データ!$D$88:$K$117,5,0)),"")</f>
        <v/>
      </c>
      <c r="DK66" s="85" t="str">
        <f t="shared" si="8"/>
        <v/>
      </c>
      <c r="DL66" s="53" t="str">
        <f>IF(AND($AW66&gt;=参照データ!$C$90,$AW66&lt;=参照データ!$C$88),1,IF(AND($AW66&gt;=参照データ!$C$93,$AW66&lt;=参照データ!$C$91),2,IF(AND($AW66&gt;=参照データ!$C$99,$AW66&lt;=参照データ!$C$97),3,IF(AND($AW66&gt;=参照データ!$C$105,$AW66&lt;=参照データ!$C$103),4,IF(AND($AW66&gt;=参照データ!$C$111,$AW66&lt;=参照データ!$C$109),5,IF(AND($AW66&gt;0,$AW66&lt;=参照データ!$C$112),6,""))))))</f>
        <v/>
      </c>
      <c r="DM66" s="84" t="str">
        <f>IF($AF66="選手権",(VLOOKUP($DL66,参照データ!$D$88:$K$117,6,0)),"")</f>
        <v/>
      </c>
      <c r="DN66" s="85" t="str">
        <f t="shared" si="9"/>
        <v/>
      </c>
      <c r="DO66" s="84" t="str">
        <f>IF($AH66="選手権",(VLOOKUP($DL66,参照データ!$D$88:$K$117,7,0)),"")</f>
        <v/>
      </c>
      <c r="DP66" s="85" t="str">
        <f t="shared" si="22"/>
        <v/>
      </c>
      <c r="DQ66" s="33" t="str">
        <f t="shared" si="23"/>
        <v/>
      </c>
      <c r="DR66" s="32" t="str">
        <f t="shared" si="24"/>
        <v/>
      </c>
      <c r="DS66" s="85" t="str">
        <f t="shared" si="25"/>
        <v/>
      </c>
      <c r="DT66" s="736">
        <v>28</v>
      </c>
      <c r="DU66" s="93" t="s">
        <v>139</v>
      </c>
      <c r="DV66" s="94" t="str">
        <f t="shared" si="35"/>
        <v/>
      </c>
      <c r="DW66" s="737" t="e">
        <f>IF($DV66&gt;$DV67,VLOOKUP($DV66,参照データ!$D$88:$K$117,8,0),VLOOKUP($DV67,参照データ!$D$88:$K$117,8,0))</f>
        <v>#N/A</v>
      </c>
      <c r="DX66" s="312" t="str">
        <f>IFERROR(VLOOKUP($DW66,参照データ!$K$88:$O$117,5,0),"")</f>
        <v/>
      </c>
      <c r="DZ66" s="491" t="str">
        <f t="shared" si="26"/>
        <v/>
      </c>
      <c r="EE66" s="35">
        <f>(COUNTIF($J66:$O66,"&lt;&gt;"))*参照データ!$E$3</f>
        <v>0</v>
      </c>
      <c r="EF66" s="219" t="str">
        <f>IF($Y66="○",参照データ!$E$4,"")</f>
        <v/>
      </c>
      <c r="EG66" s="18">
        <f>(SUM(COUNTIF($R66:$V66,{"入門","初級"}))*参照データ!$E$9)+(SUM(COUNTIF($R66:$V66,{"中級","上級"})*参照データ!$E$10))</f>
        <v>0</v>
      </c>
      <c r="EH66" s="18">
        <f>IFERROR(VLOOKUP($W66,参照データ!$D$9:$J$11,7,0),0)</f>
        <v>0</v>
      </c>
      <c r="EI66" s="18">
        <f>((COUNTIF($Z66:$AH66,"○"))*参照データ!$E$12)</f>
        <v>0</v>
      </c>
      <c r="EJ66" s="18" t="str">
        <f>(IF($AJ66="○",参照データ!$J$12,""))</f>
        <v/>
      </c>
      <c r="EM66" s="18">
        <f>((COUNTIF($Z66:$AH66,"選手権"))*参照データ!$E$13)</f>
        <v>0</v>
      </c>
      <c r="EN66" s="18" t="str">
        <f>(IF($AJ66="選手権",参照データ!$J$13,""))</f>
        <v/>
      </c>
      <c r="EO66" s="18">
        <f>(COUNTIF($AQ66:$AR66,"&lt;&gt;"))*参照データ!$H$3</f>
        <v>0</v>
      </c>
      <c r="EP66" s="18"/>
      <c r="EQ66" s="98">
        <f t="array" ref="EQ66">SUM(IF(ISERROR(EE66:EN66),0,(EE66:EN66)))</f>
        <v>0</v>
      </c>
      <c r="ER66" s="18"/>
      <c r="ES66" s="18">
        <f t="shared" si="10"/>
        <v>0</v>
      </c>
      <c r="ET66" s="18">
        <f t="shared" si="36"/>
        <v>0</v>
      </c>
      <c r="EU66" s="18">
        <f t="shared" si="27"/>
        <v>0</v>
      </c>
      <c r="EV66" s="18">
        <f t="shared" si="112"/>
        <v>0</v>
      </c>
      <c r="EW66" s="18">
        <f t="shared" si="29"/>
        <v>0</v>
      </c>
      <c r="EX66" s="18">
        <f t="shared" si="30"/>
        <v>0</v>
      </c>
      <c r="EY66" t="str">
        <f t="shared" si="31"/>
        <v/>
      </c>
    </row>
    <row r="67" spans="1:155" ht="18.75" customHeight="1" x14ac:dyDescent="0.2">
      <c r="A67">
        <v>56</v>
      </c>
      <c r="B67" s="14" t="str">
        <f>IF(D67="","",IF(D67="重複","",COUNTIF(B$12:$B66,"&gt;0")+1))</f>
        <v/>
      </c>
      <c r="C67" s="464"/>
      <c r="D67" s="177"/>
      <c r="E67" s="177"/>
      <c r="F67" s="31"/>
      <c r="G67" s="41"/>
      <c r="H67" s="351">
        <f t="shared" si="32"/>
        <v>0</v>
      </c>
      <c r="I67" s="193" t="str">
        <f>IF($AW67=0,"",DATEDIF($AW67,参照データ!$D$16,"Y"))</f>
        <v/>
      </c>
      <c r="J67" s="517"/>
      <c r="K67" s="517"/>
      <c r="L67" s="517"/>
      <c r="M67" s="517"/>
      <c r="N67" s="517"/>
      <c r="O67" s="518"/>
      <c r="P67" s="345"/>
      <c r="Q67" s="345"/>
      <c r="R67" s="519"/>
      <c r="S67" s="244"/>
      <c r="T67" s="244"/>
      <c r="U67" s="244"/>
      <c r="V67" s="245"/>
      <c r="W67" s="248"/>
      <c r="X67" s="250"/>
      <c r="Y67" s="345"/>
      <c r="Z67" s="388"/>
      <c r="AA67" s="346" t="str">
        <f>IF($Z67="○",VLOOKUP($CB67,参照データ!$D$65:$M$82,9,0),IF($Z67="選手権",VLOOKUP($DE67,参照データ!$D$88:$O$117,10,0),""))</f>
        <v/>
      </c>
      <c r="AB67" s="388"/>
      <c r="AC67" s="346" t="str">
        <f>IF($AB67="○",VLOOKUP($CB67,参照データ!$D$65:$M$82,10,0),IF($AB67="選手権",VLOOKUP($DE67,参照データ!$D$88:$O$117,11,0),""))</f>
        <v/>
      </c>
      <c r="AD67" s="388"/>
      <c r="AE67" s="346" t="str">
        <f>IF($AD67="○",VLOOKUP($CB67,参照データ!$D$65:$M$82,10,0),IF($AD67="選手権",VLOOKUP($DE67,参照データ!$D$88:$O$117,11,0),""))</f>
        <v/>
      </c>
      <c r="AF67" s="388"/>
      <c r="AG67" s="346" t="str">
        <f>IF($AF67="○",VLOOKUP($CB67,参照データ!$D$65:$M$82,10,0),IF($AF67="選手権",VLOOKUP($DL67,参照データ!$D$88:$O$117,12,0),""))</f>
        <v/>
      </c>
      <c r="AH67" s="388"/>
      <c r="AI67" s="346" t="str">
        <f>IF($AH67="○",VLOOKUP($CB67,参照データ!$D$65:$M$82,10,0),IF($AH67="選手権",VLOOKUP($DL67,参照データ!$D$88:$O$117,12,0),""))</f>
        <v/>
      </c>
      <c r="AJ67" s="388"/>
      <c r="AK67" s="511"/>
      <c r="AL67" s="346" t="str">
        <f t="shared" si="3"/>
        <v/>
      </c>
      <c r="AM67" s="392"/>
      <c r="AN67" s="391"/>
      <c r="AO67" s="391"/>
      <c r="AP67" s="447"/>
      <c r="AQ67" s="321"/>
      <c r="AR67" s="481"/>
      <c r="AS67" s="393"/>
      <c r="AT67" s="483"/>
      <c r="AW67">
        <f t="shared" si="45"/>
        <v>0</v>
      </c>
      <c r="AX67" t="str">
        <f t="shared" si="33"/>
        <v/>
      </c>
      <c r="AY67" s="132"/>
      <c r="BA67" s="513" t="str">
        <f>IF(団体情報・入力の仕方!$C$3&lt;&gt;"大田区大会","",IF(AW67=0,"",IF(I67&gt;=18,"○","")))</f>
        <v/>
      </c>
      <c r="BB67" s="53" t="str">
        <f>IF($AW67=0,"",IF(AND($I67&gt;=6,$I67&lt;=19),VLOOKUP($I67,参照データ!$B$24:$C$37,2,0),IF($I67&lt;6,6,19)))</f>
        <v/>
      </c>
      <c r="BC67" s="155" t="str">
        <f>IF($J67="○",VLOOKUP($BB67,参照データ!$C$24:$I$37,2,0),"")</f>
        <v/>
      </c>
      <c r="BD67" s="146" t="str">
        <f>IF($K67="○",VLOOKUP($BB67,参照データ!$C$24:$I$37,3,0),"")</f>
        <v/>
      </c>
      <c r="BE67" s="146" t="str">
        <f>IF($L67="○",VLOOKUP($BB67,参照データ!$C$24:$I$37,4,0),"")</f>
        <v/>
      </c>
      <c r="BF67" s="146" t="str">
        <f>IF($M67="○",VLOOKUP($BB67,参照データ!$C$24:$I$37,5,0),"")</f>
        <v/>
      </c>
      <c r="BG67" s="146" t="str">
        <f>IF($N67="20日",VLOOKUP($BB67,参照データ!$C$24:$I$37,6,0),"")</f>
        <v/>
      </c>
      <c r="BH67" s="156" t="str">
        <f>IF($O67="20日",VLOOKUP($BB67,参照データ!$C$24:$I$37,7,0),"")</f>
        <v/>
      </c>
      <c r="BI67" s="155" t="str">
        <f>IF($J67="21日",VLOOKUP($BB67,参照データ!$C$24:$I$37,2,0),"")</f>
        <v/>
      </c>
      <c r="BJ67" s="146" t="str">
        <f>IF($K67="21日",VLOOKUP($BB67,参照データ!$C$24:$I$37,3,0),"")</f>
        <v/>
      </c>
      <c r="BK67" s="146" t="str">
        <f>IF($L67="21日",VLOOKUP($BB67,参照データ!$C$24:$I$37,4,0),"")</f>
        <v/>
      </c>
      <c r="BL67" s="146" t="str">
        <f>IF($M67="21日",VLOOKUP($BB67,参照データ!$C$24:$I$37,5,0),"")</f>
        <v/>
      </c>
      <c r="BM67" s="146" t="str">
        <f>IF($N67="21日",VLOOKUP($BB67,参照データ!$C$24:$I$37,6,0),"")</f>
        <v/>
      </c>
      <c r="BN67" s="156" t="str">
        <f>IF($O67="21日",VLOOKUP($BB67,参照データ!$C$24:$I$37,7,0),"")</f>
        <v/>
      </c>
      <c r="BO67" s="223" t="str">
        <f t="shared" si="40"/>
        <v/>
      </c>
      <c r="BP67" s="154" t="str">
        <f>IF($R67="入門",VLOOKUP($BB67,参照データ!$C$43:$U$56,2,0),IF($R67="初級",VLOOKUP($BB67,参照データ!$C$43:$U$56,3,0),IF($R67="中級",VLOOKUP($BB67,参照データ!$C$43:$U$56,4,0),IF($R67="上級",VLOOKUP($BB67,参照データ!$C$43:$U$56,5,0),""))))</f>
        <v/>
      </c>
      <c r="BQ67" s="154" t="str">
        <f>IF($S67="初級",VLOOKUP($BB67,参照データ!$C$43:$U$56,6,0),IF($S67="中級",VLOOKUP($BB67,参照データ!$C$43:$U$56,7,0),IF($S67="上級",VLOOKUP($BB67,参照データ!$C$43:$U$56,8,0),"")))</f>
        <v/>
      </c>
      <c r="BR67" s="154" t="str">
        <f>IF($T67="初級",VLOOKUP($BB67,参照データ!$C$43:$U$56,9,0),IF($T67="上級",VLOOKUP($BB67,参照データ!$C$43:$U$56,10,0),""))</f>
        <v/>
      </c>
      <c r="BS67" s="154" t="str">
        <f>IF($U67="初級",VLOOKUP($BB67,参照データ!$C$43:$U$56,11,0),IF($U67="中級",VLOOKUP($BB67,参照データ!$C$43:$U$56,12,0),IF($U67="上級",VLOOKUP($BB67,参照データ!$C$43:$U$56,13,0),"")))</f>
        <v/>
      </c>
      <c r="BT67" s="154" t="str">
        <f>IF($V67="初級",VLOOKUP($BB67,参照データ!$C$43:$U$56,14,0),IF($V67="中級",VLOOKUP($BB67,参照データ!$C$43:$U$56,15,0),IF($V67="上級",VLOOKUP($BB67,参照データ!$C$43:$U$56,16,0),"")))</f>
        <v/>
      </c>
      <c r="BU67" s="47" t="str">
        <f t="shared" si="4"/>
        <v/>
      </c>
      <c r="BV67" s="47" t="str">
        <f>IF($W67="初級",VLOOKUP($BB67,参照データ!$C$43:$U$56,17,0),IF($W67="中級",VLOOKUP($BB67,参照データ!$C$43:$U$56,18,0),IF($W67="上級",VLOOKUP($BB67,参照データ!$C$43:$U$56,19,0),"")))</f>
        <v/>
      </c>
      <c r="BW67" s="687"/>
      <c r="BX67" s="65" t="s">
        <v>140</v>
      </c>
      <c r="BY67" s="135" t="str">
        <f t="shared" si="11"/>
        <v/>
      </c>
      <c r="BZ67" s="689"/>
      <c r="CB67" s="53" t="str">
        <f>IF(AND($AW67&gt;=参照データ!$C$67,$AW67&lt;=参照データ!$C$65),1,IF(AND($AW67&gt;=参照データ!$C$70,$AW67&lt;=参照データ!$C$68),2,IF(AND($AW67&gt;=参照データ!$C$73,$AW67&lt;=参照データ!$C$71),3,IF(AND($AW67&gt;=参照データ!$C$76,$AW67&lt;=参照データ!$C$74),4,IF(AND($AW67&gt;=参照データ!$C$79,$AW67&lt;=参照データ!$C$77),5,IF(AND($AW67&gt;0,$AW67&lt;=参照データ!$C$80),6,""))))))</f>
        <v/>
      </c>
      <c r="CC67" s="141" t="str">
        <f>IF($Z67="○",(VLOOKUP($CB67,参照データ!$D$65:$J$82,2,0)),"")</f>
        <v/>
      </c>
      <c r="CD67" s="71" t="str">
        <f t="shared" si="12"/>
        <v/>
      </c>
      <c r="CE67" s="70" t="str">
        <f>IF($AB67="○",(VLOOKUP($CB67,参照データ!$D$65:$J$82,3,0)),"")</f>
        <v/>
      </c>
      <c r="CF67" s="71" t="str">
        <f t="shared" si="13"/>
        <v/>
      </c>
      <c r="CG67" s="70" t="str">
        <f>IF($AD67="○",(VLOOKUP($CB67,参照データ!$D$65:$J$82,4,0)),"")</f>
        <v/>
      </c>
      <c r="CH67" s="71" t="str">
        <f t="shared" si="14"/>
        <v/>
      </c>
      <c r="CI67" s="70" t="str">
        <f>IF($AF67="○",(VLOOKUP($CB67,参照データ!$D$65:$J$82,5,0)),"")</f>
        <v/>
      </c>
      <c r="CJ67" s="71" t="str">
        <f t="shared" si="5"/>
        <v/>
      </c>
      <c r="CK67" s="70" t="str">
        <f>IF($AH67="○",(VLOOKUP($CB67,参照データ!$D$65:$J$82,6,0)),"")</f>
        <v/>
      </c>
      <c r="CL67" s="71" t="str">
        <f t="shared" si="15"/>
        <v/>
      </c>
      <c r="CM67" s="33" t="str">
        <f t="shared" si="16"/>
        <v/>
      </c>
      <c r="CN67" s="32" t="str">
        <f t="shared" si="17"/>
        <v/>
      </c>
      <c r="CO67" s="71" t="str">
        <f t="shared" si="18"/>
        <v/>
      </c>
      <c r="CP67" s="682"/>
      <c r="CQ67" s="77" t="s">
        <v>140</v>
      </c>
      <c r="CR67" s="78" t="str">
        <f t="shared" si="19"/>
        <v/>
      </c>
      <c r="CS67" s="684"/>
      <c r="CT67" s="308" t="str">
        <f t="shared" ref="CT67" si="119">$CT66</f>
        <v/>
      </c>
      <c r="CU67" s="70"/>
      <c r="CV67" s="172" t="str">
        <f t="shared" si="20"/>
        <v/>
      </c>
      <c r="CX67" s="32"/>
      <c r="CY67" s="161" t="str">
        <f t="shared" si="21"/>
        <v/>
      </c>
      <c r="CZ67" s="744"/>
      <c r="DA67" s="164" t="s">
        <v>140</v>
      </c>
      <c r="DB67" s="165" t="str">
        <f t="shared" si="42"/>
        <v/>
      </c>
      <c r="DC67" s="742"/>
      <c r="DD67" t="str">
        <f>IF($DE67="","",DATEDIF($AW67,参照データ!$D$19,"Y"))</f>
        <v/>
      </c>
      <c r="DE67" s="253" t="str">
        <f>IFERROR(IF($AX67="男子",VLOOKUP($DL67,参照データ!$D$88:$E$117,2,0),$DL67),0)</f>
        <v/>
      </c>
      <c r="DF67" s="84" t="str">
        <f>IF($Z67="選手権",(VLOOKUP($DE67,参照データ!$D$88:$K$117,3,0)),"")</f>
        <v/>
      </c>
      <c r="DG67" s="85" t="str">
        <f t="shared" si="6"/>
        <v/>
      </c>
      <c r="DH67" s="84" t="str">
        <f>IF($AB67="選手権",(VLOOKUP($DE67,参照データ!$D$88:$K$117,4,0)),"")</f>
        <v/>
      </c>
      <c r="DI67" s="85" t="str">
        <f t="shared" si="7"/>
        <v/>
      </c>
      <c r="DJ67" s="84" t="str">
        <f>IF($AD67="選手権",(VLOOKUP($DE67,参照データ!$D$88:$K$117,5,0)),"")</f>
        <v/>
      </c>
      <c r="DK67" s="85" t="str">
        <f t="shared" si="8"/>
        <v/>
      </c>
      <c r="DL67" s="53" t="str">
        <f>IF(AND($AW67&gt;=参照データ!$C$90,$AW67&lt;=参照データ!$C$88),1,IF(AND($AW67&gt;=参照データ!$C$93,$AW67&lt;=参照データ!$C$91),2,IF(AND($AW67&gt;=参照データ!$C$99,$AW67&lt;=参照データ!$C$97),3,IF(AND($AW67&gt;=参照データ!$C$105,$AW67&lt;=参照データ!$C$103),4,IF(AND($AW67&gt;=参照データ!$C$111,$AW67&lt;=参照データ!$C$109),5,IF(AND($AW67&gt;0,$AW67&lt;=参照データ!$C$112),6,""))))))</f>
        <v/>
      </c>
      <c r="DM67" s="84" t="str">
        <f>IF($AF67="選手権",(VLOOKUP($DL67,参照データ!$D$88:$K$117,6,0)),"")</f>
        <v/>
      </c>
      <c r="DN67" s="85" t="str">
        <f t="shared" si="9"/>
        <v/>
      </c>
      <c r="DO67" s="84" t="str">
        <f>IF($AH67="選手権",(VLOOKUP($DL67,参照データ!$D$88:$K$117,7,0)),"")</f>
        <v/>
      </c>
      <c r="DP67" s="85" t="str">
        <f t="shared" si="22"/>
        <v/>
      </c>
      <c r="DQ67" s="33" t="str">
        <f t="shared" si="23"/>
        <v/>
      </c>
      <c r="DR67" s="32" t="str">
        <f t="shared" si="24"/>
        <v/>
      </c>
      <c r="DS67" s="85" t="str">
        <f t="shared" si="25"/>
        <v/>
      </c>
      <c r="DT67" s="733"/>
      <c r="DU67" s="91" t="s">
        <v>140</v>
      </c>
      <c r="DV67" s="92" t="str">
        <f t="shared" si="35"/>
        <v/>
      </c>
      <c r="DW67" s="735"/>
      <c r="DX67" s="312" t="str">
        <f t="shared" ref="DX67" si="120">$DX66</f>
        <v/>
      </c>
      <c r="DZ67" s="491" t="str">
        <f t="shared" si="26"/>
        <v/>
      </c>
      <c r="EE67" s="35">
        <f>(COUNTIF($J67:$O67,"&lt;&gt;"))*参照データ!$E$3</f>
        <v>0</v>
      </c>
      <c r="EF67" s="219" t="str">
        <f>IF($Y67="○",参照データ!$E$4,"")</f>
        <v/>
      </c>
      <c r="EG67" s="18">
        <f>(SUM(COUNTIF($R67:$V67,{"入門","初級"}))*参照データ!$E$9)+(SUM(COUNTIF($R67:$V67,{"中級","上級"})*参照データ!$E$10))</f>
        <v>0</v>
      </c>
      <c r="EH67" s="18">
        <f>IFERROR(VLOOKUP($W67,参照データ!$D$9:$J$11,7,0),0)</f>
        <v>0</v>
      </c>
      <c r="EI67" s="18">
        <f>((COUNTIF($Z67:$AH67,"○"))*参照データ!$E$12)</f>
        <v>0</v>
      </c>
      <c r="EJ67" s="18" t="str">
        <f>(IF($AJ67="○",参照データ!$J$12,""))</f>
        <v/>
      </c>
      <c r="EM67" s="18">
        <f>((COUNTIF($Z67:$AH67,"選手権"))*参照データ!$E$13)</f>
        <v>0</v>
      </c>
      <c r="EN67" s="18" t="str">
        <f>(IF($AJ67="選手権",参照データ!$J$13,""))</f>
        <v/>
      </c>
      <c r="EO67" s="18">
        <f>(COUNTIF($AQ67:$AR67,"&lt;&gt;"))*参照データ!$H$3</f>
        <v>0</v>
      </c>
      <c r="EP67" s="18"/>
      <c r="EQ67" s="98">
        <f t="array" ref="EQ67">SUM(IF(ISERROR(EE67:EN67),0,(EE67:EN67)))</f>
        <v>0</v>
      </c>
      <c r="ER67" s="18"/>
      <c r="ES67" s="18">
        <f t="shared" si="10"/>
        <v>0</v>
      </c>
      <c r="ET67" s="18">
        <f t="shared" si="36"/>
        <v>0</v>
      </c>
      <c r="EU67" s="18">
        <f t="shared" si="27"/>
        <v>0</v>
      </c>
      <c r="EV67" s="18">
        <f t="shared" si="112"/>
        <v>0</v>
      </c>
      <c r="EW67" s="18">
        <f t="shared" si="29"/>
        <v>0</v>
      </c>
      <c r="EX67" s="18">
        <f t="shared" si="30"/>
        <v>0</v>
      </c>
      <c r="EY67" t="str">
        <f t="shared" si="31"/>
        <v/>
      </c>
    </row>
    <row r="68" spans="1:155" ht="18.75" customHeight="1" x14ac:dyDescent="0.2">
      <c r="A68">
        <v>57</v>
      </c>
      <c r="B68" s="14" t="str">
        <f>IF(D68="","",IF(D68="重複","",COUNTIF(B$12:$B67,"&gt;0")+1))</f>
        <v/>
      </c>
      <c r="C68" s="464"/>
      <c r="D68" s="177"/>
      <c r="E68" s="177"/>
      <c r="F68" s="31"/>
      <c r="G68" s="41"/>
      <c r="H68" s="351">
        <f t="shared" si="32"/>
        <v>0</v>
      </c>
      <c r="I68" s="193" t="str">
        <f>IF($AW68=0,"",DATEDIF($AW68,参照データ!$D$16,"Y"))</f>
        <v/>
      </c>
      <c r="J68" s="517"/>
      <c r="K68" s="517"/>
      <c r="L68" s="517"/>
      <c r="M68" s="517"/>
      <c r="N68" s="517"/>
      <c r="O68" s="518"/>
      <c r="P68" s="345"/>
      <c r="Q68" s="345"/>
      <c r="R68" s="519"/>
      <c r="S68" s="244"/>
      <c r="T68" s="244"/>
      <c r="U68" s="244"/>
      <c r="V68" s="245"/>
      <c r="W68" s="248"/>
      <c r="X68" s="250"/>
      <c r="Y68" s="345"/>
      <c r="Z68" s="388"/>
      <c r="AA68" s="346" t="str">
        <f>IF($Z68="○",VLOOKUP($CB68,参照データ!$D$65:$M$82,9,0),IF($Z68="選手権",VLOOKUP($DE68,参照データ!$D$88:$O$117,10,0),""))</f>
        <v/>
      </c>
      <c r="AB68" s="388"/>
      <c r="AC68" s="346" t="str">
        <f>IF($AB68="○",VLOOKUP($CB68,参照データ!$D$65:$M$82,10,0),IF($AB68="選手権",VLOOKUP($DE68,参照データ!$D$88:$O$117,11,0),""))</f>
        <v/>
      </c>
      <c r="AD68" s="388"/>
      <c r="AE68" s="346" t="str">
        <f>IF($AD68="○",VLOOKUP($CB68,参照データ!$D$65:$M$82,10,0),IF($AD68="選手権",VLOOKUP($DE68,参照データ!$D$88:$O$117,11,0),""))</f>
        <v/>
      </c>
      <c r="AF68" s="388"/>
      <c r="AG68" s="346" t="str">
        <f>IF($AF68="○",VLOOKUP($CB68,参照データ!$D$65:$M$82,10,0),IF($AF68="選手権",VLOOKUP($DL68,参照データ!$D$88:$O$117,12,0),""))</f>
        <v/>
      </c>
      <c r="AH68" s="388"/>
      <c r="AI68" s="346" t="str">
        <f>IF($AH68="○",VLOOKUP($CB68,参照データ!$D$65:$M$82,10,0),IF($AH68="選手権",VLOOKUP($DL68,参照データ!$D$88:$O$117,12,0),""))</f>
        <v/>
      </c>
      <c r="AJ68" s="388"/>
      <c r="AK68" s="511"/>
      <c r="AL68" s="346" t="str">
        <f t="shared" si="3"/>
        <v/>
      </c>
      <c r="AM68" s="392"/>
      <c r="AN68" s="391"/>
      <c r="AO68" s="391"/>
      <c r="AP68" s="447"/>
      <c r="AQ68" s="321"/>
      <c r="AR68" s="481"/>
      <c r="AS68" s="393"/>
      <c r="AT68" s="483"/>
      <c r="AW68">
        <f t="shared" si="45"/>
        <v>0</v>
      </c>
      <c r="AX68" t="str">
        <f>IF($D68="","",IF($D68="重複",$F67,$F68))</f>
        <v/>
      </c>
      <c r="AY68" s="132"/>
      <c r="BA68" s="513" t="str">
        <f>IF(団体情報・入力の仕方!$C$3&lt;&gt;"大田区大会","",IF(AW68=0,"",IF(I68&gt;=18,"○","")))</f>
        <v/>
      </c>
      <c r="BB68" s="53" t="str">
        <f>IF($AW68=0,"",IF(AND($I68&gt;=6,$I68&lt;=19),VLOOKUP($I68,参照データ!$B$24:$C$37,2,0),IF($I68&lt;6,6,19)))</f>
        <v/>
      </c>
      <c r="BC68" s="155" t="str">
        <f>IF($J68="○",VLOOKUP($BB68,参照データ!$C$24:$I$37,2,0),"")</f>
        <v/>
      </c>
      <c r="BD68" s="146" t="str">
        <f>IF($K68="○",VLOOKUP($BB68,参照データ!$C$24:$I$37,3,0),"")</f>
        <v/>
      </c>
      <c r="BE68" s="146" t="str">
        <f>IF($L68="○",VLOOKUP($BB68,参照データ!$C$24:$I$37,4,0),"")</f>
        <v/>
      </c>
      <c r="BF68" s="146" t="str">
        <f>IF($M68="○",VLOOKUP($BB68,参照データ!$C$24:$I$37,5,0),"")</f>
        <v/>
      </c>
      <c r="BG68" s="146" t="str">
        <f>IF($N68="20日",VLOOKUP($BB68,参照データ!$C$24:$I$37,6,0),"")</f>
        <v/>
      </c>
      <c r="BH68" s="156" t="str">
        <f>IF($O68="20日",VLOOKUP($BB68,参照データ!$C$24:$I$37,7,0),"")</f>
        <v/>
      </c>
      <c r="BI68" s="155" t="str">
        <f>IF($J68="21日",VLOOKUP($BB68,参照データ!$C$24:$I$37,2,0),"")</f>
        <v/>
      </c>
      <c r="BJ68" s="146" t="str">
        <f>IF($K68="21日",VLOOKUP($BB68,参照データ!$C$24:$I$37,3,0),"")</f>
        <v/>
      </c>
      <c r="BK68" s="146" t="str">
        <f>IF($L68="21日",VLOOKUP($BB68,参照データ!$C$24:$I$37,4,0),"")</f>
        <v/>
      </c>
      <c r="BL68" s="146" t="str">
        <f>IF($M68="21日",VLOOKUP($BB68,参照データ!$C$24:$I$37,5,0),"")</f>
        <v/>
      </c>
      <c r="BM68" s="146" t="str">
        <f>IF($N68="21日",VLOOKUP($BB68,参照データ!$C$24:$I$37,6,0),"")</f>
        <v/>
      </c>
      <c r="BN68" s="156" t="str">
        <f>IF($O68="21日",VLOOKUP($BB68,参照データ!$C$24:$I$37,7,0),"")</f>
        <v/>
      </c>
      <c r="BO68" s="223" t="str">
        <f t="shared" si="40"/>
        <v/>
      </c>
      <c r="BP68" s="154" t="str">
        <f>IF($R68="入門",VLOOKUP($BB68,参照データ!$C$43:$U$56,2,0),IF($R68="初級",VLOOKUP($BB68,参照データ!$C$43:$U$56,3,0),IF($R68="中級",VLOOKUP($BB68,参照データ!$C$43:$U$56,4,0),IF($R68="上級",VLOOKUP($BB68,参照データ!$C$43:$U$56,5,0),""))))</f>
        <v/>
      </c>
      <c r="BQ68" s="154" t="str">
        <f>IF($S68="初級",VLOOKUP($BB68,参照データ!$C$43:$U$56,6,0),IF($S68="中級",VLOOKUP($BB68,参照データ!$C$43:$U$56,7,0),IF($S68="上級",VLOOKUP($BB68,参照データ!$C$43:$U$56,8,0),"")))</f>
        <v/>
      </c>
      <c r="BR68" s="154" t="str">
        <f>IF($T68="初級",VLOOKUP($BB68,参照データ!$C$43:$U$56,9,0),IF($T68="上級",VLOOKUP($BB68,参照データ!$C$43:$U$56,10,0),""))</f>
        <v/>
      </c>
      <c r="BS68" s="154" t="str">
        <f>IF($U68="初級",VLOOKUP($BB68,参照データ!$C$43:$U$56,11,0),IF($U68="中級",VLOOKUP($BB68,参照データ!$C$43:$U$56,12,0),IF($U68="上級",VLOOKUP($BB68,参照データ!$C$43:$U$56,13,0),"")))</f>
        <v/>
      </c>
      <c r="BT68" s="154" t="str">
        <f>IF($V68="初級",VLOOKUP($BB68,参照データ!$C$43:$U$56,14,0),IF($V68="中級",VLOOKUP($BB68,参照データ!$C$43:$U$56,15,0),IF($V68="上級",VLOOKUP($BB68,参照データ!$C$43:$U$56,16,0),"")))</f>
        <v/>
      </c>
      <c r="BU68" s="47" t="str">
        <f t="shared" si="4"/>
        <v/>
      </c>
      <c r="BV68" s="47" t="str">
        <f>IF($W68="初級",VLOOKUP($BB68,参照データ!$C$43:$U$56,17,0),IF($W68="中級",VLOOKUP($BB68,参照データ!$C$43:$U$56,18,0),IF($W68="上級",VLOOKUP($BB68,参照データ!$C$43:$U$56,19,0),"")))</f>
        <v/>
      </c>
      <c r="BW68" s="686">
        <v>29</v>
      </c>
      <c r="BX68" s="66" t="s">
        <v>141</v>
      </c>
      <c r="BY68" s="136" t="str">
        <f t="shared" si="11"/>
        <v/>
      </c>
      <c r="BZ68" s="688" t="str">
        <f t="shared" ref="BZ68" si="121">IF(OR($BY68="",$BY69=""),"",IF($BY68&gt;$BY69,$BY68,$BY69))</f>
        <v/>
      </c>
      <c r="CB68" s="53" t="str">
        <f>IF(AND($AW68&gt;=参照データ!$C$67,$AW68&lt;=参照データ!$C$65),1,IF(AND($AW68&gt;=参照データ!$C$70,$AW68&lt;=参照データ!$C$68),2,IF(AND($AW68&gt;=参照データ!$C$73,$AW68&lt;=参照データ!$C$71),3,IF(AND($AW68&gt;=参照データ!$C$76,$AW68&lt;=参照データ!$C$74),4,IF(AND($AW68&gt;=参照データ!$C$79,$AW68&lt;=参照データ!$C$77),5,IF(AND($AW68&gt;0,$AW68&lt;=参照データ!$C$80),6,""))))))</f>
        <v/>
      </c>
      <c r="CC68" s="141" t="str">
        <f>IF($Z68="○",(VLOOKUP($CB68,参照データ!$D$65:$J$82,2,0)),"")</f>
        <v/>
      </c>
      <c r="CD68" s="71" t="str">
        <f t="shared" si="12"/>
        <v/>
      </c>
      <c r="CE68" s="70" t="str">
        <f>IF($AB68="○",(VLOOKUP($CB68,参照データ!$D$65:$J$82,3,0)),"")</f>
        <v/>
      </c>
      <c r="CF68" s="71" t="str">
        <f t="shared" si="13"/>
        <v/>
      </c>
      <c r="CG68" s="70" t="str">
        <f>IF($AD68="○",(VLOOKUP($CB68,参照データ!$D$65:$J$82,4,0)),"")</f>
        <v/>
      </c>
      <c r="CH68" s="71" t="str">
        <f t="shared" si="14"/>
        <v/>
      </c>
      <c r="CI68" s="70" t="str">
        <f>IF($AF68="○",(VLOOKUP($CB68,参照データ!$D$65:$J$82,5,0)),"")</f>
        <v/>
      </c>
      <c r="CJ68" s="71" t="str">
        <f t="shared" si="5"/>
        <v/>
      </c>
      <c r="CK68" s="70" t="str">
        <f>IF($AH68="○",(VLOOKUP($CB68,参照データ!$D$65:$J$82,6,0)),"")</f>
        <v/>
      </c>
      <c r="CL68" s="71" t="str">
        <f t="shared" si="15"/>
        <v/>
      </c>
      <c r="CM68" s="33" t="str">
        <f t="shared" si="16"/>
        <v/>
      </c>
      <c r="CN68" s="32" t="str">
        <f t="shared" si="17"/>
        <v/>
      </c>
      <c r="CO68" s="71" t="str">
        <f t="shared" si="18"/>
        <v/>
      </c>
      <c r="CP68" s="681">
        <v>29</v>
      </c>
      <c r="CQ68" s="79" t="s">
        <v>141</v>
      </c>
      <c r="CR68" s="80" t="str">
        <f t="shared" si="19"/>
        <v/>
      </c>
      <c r="CS68" s="683" t="e">
        <f>IF($CR68&gt;$CR69,VLOOKUP($CR68,参照データ!$D$65:$J$82,7,0),VLOOKUP($CR69,参照データ!$D$65:$J$82,7,0))</f>
        <v>#N/A</v>
      </c>
      <c r="CT68" s="308" t="str">
        <f>IFERROR(VLOOKUP($CS68,参照データ!$J$65:$M$82,4,0),"")</f>
        <v/>
      </c>
      <c r="CU68" s="70"/>
      <c r="CV68" s="172" t="str">
        <f t="shared" si="20"/>
        <v/>
      </c>
      <c r="CX68" s="32"/>
      <c r="CY68" s="161" t="str">
        <f t="shared" si="21"/>
        <v/>
      </c>
      <c r="CZ68" s="743">
        <v>29</v>
      </c>
      <c r="DA68" s="166" t="s">
        <v>141</v>
      </c>
      <c r="DB68" s="167" t="str">
        <f t="shared" si="42"/>
        <v/>
      </c>
      <c r="DC68" s="741" t="str">
        <f>IF(OR(DB68="",DB69=""),"",IF(DB68&gt;DB69,DB68,DB69))</f>
        <v/>
      </c>
      <c r="DD68" t="str">
        <f>IF($DE68="","",DATEDIF($AW68,参照データ!$D$19,"Y"))</f>
        <v/>
      </c>
      <c r="DE68" s="253" t="str">
        <f>IFERROR(IF($AX68="男子",VLOOKUP($DL68,参照データ!$D$88:$E$117,2,0),$DL68),0)</f>
        <v/>
      </c>
      <c r="DF68" s="84" t="str">
        <f>IF($Z68="選手権",(VLOOKUP($DE68,参照データ!$D$88:$K$117,3,0)),"")</f>
        <v/>
      </c>
      <c r="DG68" s="85" t="str">
        <f t="shared" si="6"/>
        <v/>
      </c>
      <c r="DH68" s="84" t="str">
        <f>IF($AB68="選手権",(VLOOKUP($DE68,参照データ!$D$88:$K$117,4,0)),"")</f>
        <v/>
      </c>
      <c r="DI68" s="85" t="str">
        <f t="shared" si="7"/>
        <v/>
      </c>
      <c r="DJ68" s="84" t="str">
        <f>IF($AD68="選手権",(VLOOKUP($DE68,参照データ!$D$88:$K$117,5,0)),"")</f>
        <v/>
      </c>
      <c r="DK68" s="85" t="str">
        <f t="shared" si="8"/>
        <v/>
      </c>
      <c r="DL68" s="53" t="str">
        <f>IF(AND($AW68&gt;=参照データ!$C$90,$AW68&lt;=参照データ!$C$88),1,IF(AND($AW68&gt;=参照データ!$C$93,$AW68&lt;=参照データ!$C$91),2,IF(AND($AW68&gt;=参照データ!$C$99,$AW68&lt;=参照データ!$C$97),3,IF(AND($AW68&gt;=参照データ!$C$105,$AW68&lt;=参照データ!$C$103),4,IF(AND($AW68&gt;=参照データ!$C$111,$AW68&lt;=参照データ!$C$109),5,IF(AND($AW68&gt;0,$AW68&lt;=参照データ!$C$112),6,""))))))</f>
        <v/>
      </c>
      <c r="DM68" s="84" t="str">
        <f>IF($AF68="選手権",(VLOOKUP($DL68,参照データ!$D$88:$K$117,6,0)),"")</f>
        <v/>
      </c>
      <c r="DN68" s="85" t="str">
        <f t="shared" si="9"/>
        <v/>
      </c>
      <c r="DO68" s="84" t="str">
        <f>IF($AH68="選手権",(VLOOKUP($DL68,参照データ!$D$88:$K$117,7,0)),"")</f>
        <v/>
      </c>
      <c r="DP68" s="85" t="str">
        <f t="shared" si="22"/>
        <v/>
      </c>
      <c r="DQ68" s="33" t="str">
        <f t="shared" si="23"/>
        <v/>
      </c>
      <c r="DR68" s="32" t="str">
        <f t="shared" si="24"/>
        <v/>
      </c>
      <c r="DS68" s="85" t="str">
        <f t="shared" si="25"/>
        <v/>
      </c>
      <c r="DT68" s="736">
        <v>29</v>
      </c>
      <c r="DU68" s="93" t="s">
        <v>141</v>
      </c>
      <c r="DV68" s="94" t="str">
        <f t="shared" si="35"/>
        <v/>
      </c>
      <c r="DW68" s="737" t="e">
        <f>IF($DV68&gt;$DV69,VLOOKUP($DV68,参照データ!$D$88:$K$117,8,0),VLOOKUP($DV69,参照データ!$D$88:$K$117,8,0))</f>
        <v>#N/A</v>
      </c>
      <c r="DX68" s="312" t="str">
        <f>IFERROR(VLOOKUP($DW68,参照データ!$K$88:$O$117,5,0),"")</f>
        <v/>
      </c>
      <c r="DZ68" s="491" t="str">
        <f t="shared" si="26"/>
        <v/>
      </c>
      <c r="EE68" s="35">
        <f>(COUNTIF($J68:$O68,"&lt;&gt;"))*参照データ!$E$3</f>
        <v>0</v>
      </c>
      <c r="EF68" s="219" t="str">
        <f>IF($Y68="○",参照データ!$E$4,"")</f>
        <v/>
      </c>
      <c r="EG68" s="18">
        <f>(SUM(COUNTIF($R68:$V68,{"入門","初級"}))*参照データ!$E$9)+(SUM(COUNTIF($R68:$V68,{"中級","上級"})*参照データ!$E$10))</f>
        <v>0</v>
      </c>
      <c r="EH68" s="18">
        <f>IFERROR(VLOOKUP($W68,参照データ!$D$9:$J$11,7,0),0)</f>
        <v>0</v>
      </c>
      <c r="EI68" s="18">
        <f>((COUNTIF($Z68:$AH68,"○"))*参照データ!$E$12)</f>
        <v>0</v>
      </c>
      <c r="EJ68" s="18" t="str">
        <f>(IF($AJ68="○",参照データ!$J$12,""))</f>
        <v/>
      </c>
      <c r="EM68" s="18">
        <f>((COUNTIF($Z68:$AH68,"選手権"))*参照データ!$E$13)</f>
        <v>0</v>
      </c>
      <c r="EN68" s="18" t="str">
        <f>(IF($AJ68="選手権",参照データ!$J$13,""))</f>
        <v/>
      </c>
      <c r="EO68" s="18">
        <f>(COUNTIF($AQ68:$AR68,"&lt;&gt;"))*参照データ!$H$3</f>
        <v>0</v>
      </c>
      <c r="EP68" s="18"/>
      <c r="EQ68" s="98">
        <f t="array" ref="EQ68">SUM(IF(ISERROR(EE68:EN68),0,(EE68:EN68)))</f>
        <v>0</v>
      </c>
      <c r="ER68" s="18"/>
      <c r="ES68" s="18">
        <f t="shared" si="10"/>
        <v>0</v>
      </c>
      <c r="ET68" s="18">
        <f t="shared" si="36"/>
        <v>0</v>
      </c>
      <c r="EU68" s="18">
        <f t="shared" si="27"/>
        <v>0</v>
      </c>
      <c r="EV68" s="18">
        <f t="shared" si="112"/>
        <v>0</v>
      </c>
      <c r="EW68" s="18">
        <f t="shared" si="29"/>
        <v>0</v>
      </c>
      <c r="EX68" s="18">
        <f t="shared" si="30"/>
        <v>0</v>
      </c>
      <c r="EY68" t="str">
        <f t="shared" si="31"/>
        <v/>
      </c>
    </row>
    <row r="69" spans="1:155" ht="18.75" customHeight="1" x14ac:dyDescent="0.2">
      <c r="A69">
        <v>58</v>
      </c>
      <c r="B69" s="14" t="str">
        <f>IF(D69="","",IF(D69="重複","",COUNTIF(B$12:$B68,"&gt;0")+1))</f>
        <v/>
      </c>
      <c r="C69" s="464"/>
      <c r="D69" s="177"/>
      <c r="E69" s="177"/>
      <c r="F69" s="31"/>
      <c r="G69" s="41"/>
      <c r="H69" s="351">
        <f t="shared" si="32"/>
        <v>0</v>
      </c>
      <c r="I69" s="193" t="str">
        <f>IF($AW69=0,"",DATEDIF($AW69,参照データ!$D$16,"Y"))</f>
        <v/>
      </c>
      <c r="J69" s="517"/>
      <c r="K69" s="517"/>
      <c r="L69" s="517"/>
      <c r="M69" s="517"/>
      <c r="N69" s="517"/>
      <c r="O69" s="518"/>
      <c r="P69" s="345"/>
      <c r="Q69" s="345"/>
      <c r="R69" s="519"/>
      <c r="S69" s="244"/>
      <c r="T69" s="244"/>
      <c r="U69" s="244"/>
      <c r="V69" s="245"/>
      <c r="W69" s="248"/>
      <c r="X69" s="250"/>
      <c r="Y69" s="345"/>
      <c r="Z69" s="388"/>
      <c r="AA69" s="346" t="str">
        <f>IF($Z69="○",VLOOKUP($CB69,参照データ!$D$65:$M$82,9,0),IF($Z69="選手権",VLOOKUP($DE69,参照データ!$D$88:$O$117,10,0),""))</f>
        <v/>
      </c>
      <c r="AB69" s="388"/>
      <c r="AC69" s="346" t="str">
        <f>IF($AB69="○",VLOOKUP($CB69,参照データ!$D$65:$M$82,10,0),IF($AB69="選手権",VLOOKUP($DE69,参照データ!$D$88:$O$117,11,0),""))</f>
        <v/>
      </c>
      <c r="AD69" s="388"/>
      <c r="AE69" s="346" t="str">
        <f>IF($AD69="○",VLOOKUP($CB69,参照データ!$D$65:$M$82,10,0),IF($AD69="選手権",VLOOKUP($DE69,参照データ!$D$88:$O$117,11,0),""))</f>
        <v/>
      </c>
      <c r="AF69" s="388"/>
      <c r="AG69" s="346" t="str">
        <f>IF($AF69="○",VLOOKUP($CB69,参照データ!$D$65:$M$82,10,0),IF($AF69="選手権",VLOOKUP($DL69,参照データ!$D$88:$O$117,12,0),""))</f>
        <v/>
      </c>
      <c r="AH69" s="388"/>
      <c r="AI69" s="346" t="str">
        <f>IF($AH69="○",VLOOKUP($CB69,参照データ!$D$65:$M$82,10,0),IF($AH69="選手権",VLOOKUP($DL69,参照データ!$D$88:$O$117,12,0),""))</f>
        <v/>
      </c>
      <c r="AJ69" s="388"/>
      <c r="AK69" s="511"/>
      <c r="AL69" s="346" t="str">
        <f t="shared" si="3"/>
        <v/>
      </c>
      <c r="AM69" s="392"/>
      <c r="AN69" s="391"/>
      <c r="AO69" s="391"/>
      <c r="AP69" s="447"/>
      <c r="AQ69" s="321"/>
      <c r="AR69" s="481"/>
      <c r="AS69" s="393"/>
      <c r="AT69" s="483"/>
      <c r="AW69">
        <f t="shared" si="45"/>
        <v>0</v>
      </c>
      <c r="AX69" t="str">
        <f t="shared" ref="AX69:AX71" si="122">IF($D69="","",IF($D69="重複",$F68,$F69))</f>
        <v/>
      </c>
      <c r="AY69" s="132"/>
      <c r="BA69" s="513" t="str">
        <f>IF(団体情報・入力の仕方!$C$3&lt;&gt;"大田区大会","",IF(AW69=0,"",IF(I69&gt;=18,"○","")))</f>
        <v/>
      </c>
      <c r="BB69" s="53" t="str">
        <f>IF($AW69=0,"",IF(AND($I69&gt;=6,$I69&lt;=19),VLOOKUP($I69,参照データ!$B$24:$C$37,2,0),IF($I69&lt;6,6,19)))</f>
        <v/>
      </c>
      <c r="BC69" s="155" t="str">
        <f>IF($J69="○",VLOOKUP($BB69,参照データ!$C$24:$I$37,2,0),"")</f>
        <v/>
      </c>
      <c r="BD69" s="146" t="str">
        <f>IF($K69="○",VLOOKUP($BB69,参照データ!$C$24:$I$37,3,0),"")</f>
        <v/>
      </c>
      <c r="BE69" s="146" t="str">
        <f>IF($L69="○",VLOOKUP($BB69,参照データ!$C$24:$I$37,4,0),"")</f>
        <v/>
      </c>
      <c r="BF69" s="146" t="str">
        <f>IF($M69="○",VLOOKUP($BB69,参照データ!$C$24:$I$37,5,0),"")</f>
        <v/>
      </c>
      <c r="BG69" s="146" t="str">
        <f>IF($N69="20日",VLOOKUP($BB69,参照データ!$C$24:$I$37,6,0),"")</f>
        <v/>
      </c>
      <c r="BH69" s="156" t="str">
        <f>IF($O69="20日",VLOOKUP($BB69,参照データ!$C$24:$I$37,7,0),"")</f>
        <v/>
      </c>
      <c r="BI69" s="155" t="str">
        <f>IF($J69="21日",VLOOKUP($BB69,参照データ!$C$24:$I$37,2,0),"")</f>
        <v/>
      </c>
      <c r="BJ69" s="146" t="str">
        <f>IF($K69="21日",VLOOKUP($BB69,参照データ!$C$24:$I$37,3,0),"")</f>
        <v/>
      </c>
      <c r="BK69" s="146" t="str">
        <f>IF($L69="21日",VLOOKUP($BB69,参照データ!$C$24:$I$37,4,0),"")</f>
        <v/>
      </c>
      <c r="BL69" s="146" t="str">
        <f>IF($M69="21日",VLOOKUP($BB69,参照データ!$C$24:$I$37,5,0),"")</f>
        <v/>
      </c>
      <c r="BM69" s="146" t="str">
        <f>IF($N69="21日",VLOOKUP($BB69,参照データ!$C$24:$I$37,6,0),"")</f>
        <v/>
      </c>
      <c r="BN69" s="156" t="str">
        <f>IF($O69="21日",VLOOKUP($BB69,参照データ!$C$24:$I$37,7,0),"")</f>
        <v/>
      </c>
      <c r="BO69" s="223" t="str">
        <f t="shared" si="40"/>
        <v/>
      </c>
      <c r="BP69" s="154" t="str">
        <f>IF($R69="入門",VLOOKUP($BB69,参照データ!$C$43:$U$56,2,0),IF($R69="初級",VLOOKUP($BB69,参照データ!$C$43:$U$56,3,0),IF($R69="中級",VLOOKUP($BB69,参照データ!$C$43:$U$56,4,0),IF($R69="上級",VLOOKUP($BB69,参照データ!$C$43:$U$56,5,0),""))))</f>
        <v/>
      </c>
      <c r="BQ69" s="154" t="str">
        <f>IF($S69="初級",VLOOKUP($BB69,参照データ!$C$43:$U$56,6,0),IF($S69="中級",VLOOKUP($BB69,参照データ!$C$43:$U$56,7,0),IF($S69="上級",VLOOKUP($BB69,参照データ!$C$43:$U$56,8,0),"")))</f>
        <v/>
      </c>
      <c r="BR69" s="154" t="str">
        <f>IF($T69="初級",VLOOKUP($BB69,参照データ!$C$43:$U$56,9,0),IF($T69="上級",VLOOKUP($BB69,参照データ!$C$43:$U$56,10,0),""))</f>
        <v/>
      </c>
      <c r="BS69" s="154" t="str">
        <f>IF($U69="初級",VLOOKUP($BB69,参照データ!$C$43:$U$56,11,0),IF($U69="中級",VLOOKUP($BB69,参照データ!$C$43:$U$56,12,0),IF($U69="上級",VLOOKUP($BB69,参照データ!$C$43:$U$56,13,0),"")))</f>
        <v/>
      </c>
      <c r="BT69" s="154" t="str">
        <f>IF($V69="初級",VLOOKUP($BB69,参照データ!$C$43:$U$56,14,0),IF($V69="中級",VLOOKUP($BB69,参照データ!$C$43:$U$56,15,0),IF($V69="上級",VLOOKUP($BB69,参照データ!$C$43:$U$56,16,0),"")))</f>
        <v/>
      </c>
      <c r="BU69" s="47" t="str">
        <f t="shared" si="4"/>
        <v/>
      </c>
      <c r="BV69" s="47" t="str">
        <f>IF($W69="初級",VLOOKUP($BB69,参照データ!$C$43:$U$56,17,0),IF($W69="中級",VLOOKUP($BB69,参照データ!$C$43:$U$56,18,0),IF($W69="上級",VLOOKUP($BB69,参照データ!$C$43:$U$56,19,0),"")))</f>
        <v/>
      </c>
      <c r="BW69" s="687"/>
      <c r="BX69" s="65" t="s">
        <v>142</v>
      </c>
      <c r="BY69" s="135" t="str">
        <f t="shared" si="11"/>
        <v/>
      </c>
      <c r="BZ69" s="689"/>
      <c r="CB69" s="53" t="str">
        <f>IF(AND($AW69&gt;=参照データ!$C$67,$AW69&lt;=参照データ!$C$65),1,IF(AND($AW69&gt;=参照データ!$C$70,$AW69&lt;=参照データ!$C$68),2,IF(AND($AW69&gt;=参照データ!$C$73,$AW69&lt;=参照データ!$C$71),3,IF(AND($AW69&gt;=参照データ!$C$76,$AW69&lt;=参照データ!$C$74),4,IF(AND($AW69&gt;=参照データ!$C$79,$AW69&lt;=参照データ!$C$77),5,IF(AND($AW69&gt;0,$AW69&lt;=参照データ!$C$80),6,""))))))</f>
        <v/>
      </c>
      <c r="CC69" s="141" t="str">
        <f>IF($Z69="○",(VLOOKUP($CB69,参照データ!$D$65:$J$82,2,0)),"")</f>
        <v/>
      </c>
      <c r="CD69" s="71" t="str">
        <f t="shared" si="12"/>
        <v/>
      </c>
      <c r="CE69" s="70" t="str">
        <f>IF($AB69="○",(VLOOKUP($CB69,参照データ!$D$65:$J$82,3,0)),"")</f>
        <v/>
      </c>
      <c r="CF69" s="71" t="str">
        <f t="shared" si="13"/>
        <v/>
      </c>
      <c r="CG69" s="70" t="str">
        <f>IF($AD69="○",(VLOOKUP($CB69,参照データ!$D$65:$J$82,4,0)),"")</f>
        <v/>
      </c>
      <c r="CH69" s="71" t="str">
        <f t="shared" si="14"/>
        <v/>
      </c>
      <c r="CI69" s="70" t="str">
        <f>IF($AF69="○",(VLOOKUP($CB69,参照データ!$D$65:$J$82,5,0)),"")</f>
        <v/>
      </c>
      <c r="CJ69" s="71" t="str">
        <f t="shared" si="5"/>
        <v/>
      </c>
      <c r="CK69" s="70" t="str">
        <f>IF($AH69="○",(VLOOKUP($CB69,参照データ!$D$65:$J$82,6,0)),"")</f>
        <v/>
      </c>
      <c r="CL69" s="71" t="str">
        <f t="shared" si="15"/>
        <v/>
      </c>
      <c r="CM69" s="33" t="str">
        <f t="shared" si="16"/>
        <v/>
      </c>
      <c r="CN69" s="32" t="str">
        <f t="shared" si="17"/>
        <v/>
      </c>
      <c r="CO69" s="71" t="str">
        <f t="shared" si="18"/>
        <v/>
      </c>
      <c r="CP69" s="682"/>
      <c r="CQ69" s="77" t="s">
        <v>142</v>
      </c>
      <c r="CR69" s="78" t="str">
        <f t="shared" si="19"/>
        <v/>
      </c>
      <c r="CS69" s="684"/>
      <c r="CT69" s="308" t="str">
        <f t="shared" ref="CT69" si="123">$CT68</f>
        <v/>
      </c>
      <c r="CU69" s="70"/>
      <c r="CV69" s="172" t="str">
        <f t="shared" si="20"/>
        <v/>
      </c>
      <c r="CX69" s="32"/>
      <c r="CY69" s="161" t="str">
        <f t="shared" si="21"/>
        <v/>
      </c>
      <c r="CZ69" s="744"/>
      <c r="DA69" s="164" t="s">
        <v>142</v>
      </c>
      <c r="DB69" s="165" t="str">
        <f t="shared" si="42"/>
        <v/>
      </c>
      <c r="DC69" s="742"/>
      <c r="DD69" t="str">
        <f>IF($DE69="","",DATEDIF($AW69,参照データ!$D$19,"Y"))</f>
        <v/>
      </c>
      <c r="DE69" s="253" t="str">
        <f>IFERROR(IF($AX69="男子",VLOOKUP($DL69,参照データ!$D$88:$E$117,2,0),$DL69),0)</f>
        <v/>
      </c>
      <c r="DF69" s="84" t="str">
        <f>IF($Z69="選手権",(VLOOKUP($DE69,参照データ!$D$88:$K$117,3,0)),"")</f>
        <v/>
      </c>
      <c r="DG69" s="85" t="str">
        <f t="shared" si="6"/>
        <v/>
      </c>
      <c r="DH69" s="84" t="str">
        <f>IF($AB69="選手権",(VLOOKUP($DE69,参照データ!$D$88:$K$117,4,0)),"")</f>
        <v/>
      </c>
      <c r="DI69" s="85" t="str">
        <f t="shared" si="7"/>
        <v/>
      </c>
      <c r="DJ69" s="84" t="str">
        <f>IF($AD69="選手権",(VLOOKUP($DE69,参照データ!$D$88:$K$117,5,0)),"")</f>
        <v/>
      </c>
      <c r="DK69" s="85" t="str">
        <f t="shared" si="8"/>
        <v/>
      </c>
      <c r="DL69" s="53" t="str">
        <f>IF(AND($AW69&gt;=参照データ!$C$90,$AW69&lt;=参照データ!$C$88),1,IF(AND($AW69&gt;=参照データ!$C$93,$AW69&lt;=参照データ!$C$91),2,IF(AND($AW69&gt;=参照データ!$C$99,$AW69&lt;=参照データ!$C$97),3,IF(AND($AW69&gt;=参照データ!$C$105,$AW69&lt;=参照データ!$C$103),4,IF(AND($AW69&gt;=参照データ!$C$111,$AW69&lt;=参照データ!$C$109),5,IF(AND($AW69&gt;0,$AW69&lt;=参照データ!$C$112),6,""))))))</f>
        <v/>
      </c>
      <c r="DM69" s="84" t="str">
        <f>IF($AF69="選手権",(VLOOKUP($DL69,参照データ!$D$88:$K$117,6,0)),"")</f>
        <v/>
      </c>
      <c r="DN69" s="85" t="str">
        <f t="shared" si="9"/>
        <v/>
      </c>
      <c r="DO69" s="84" t="str">
        <f>IF($AH69="選手権",(VLOOKUP($DL69,参照データ!$D$88:$K$117,7,0)),"")</f>
        <v/>
      </c>
      <c r="DP69" s="85" t="str">
        <f t="shared" si="22"/>
        <v/>
      </c>
      <c r="DQ69" s="33" t="str">
        <f t="shared" si="23"/>
        <v/>
      </c>
      <c r="DR69" s="32" t="str">
        <f t="shared" si="24"/>
        <v/>
      </c>
      <c r="DS69" s="85" t="str">
        <f t="shared" si="25"/>
        <v/>
      </c>
      <c r="DT69" s="733"/>
      <c r="DU69" s="91" t="s">
        <v>142</v>
      </c>
      <c r="DV69" s="92" t="str">
        <f t="shared" si="35"/>
        <v/>
      </c>
      <c r="DW69" s="735"/>
      <c r="DX69" s="312" t="str">
        <f>IFERROR(VLOOKUP($DW69,参照データ!$K$88:$O$117,5,0),"")</f>
        <v/>
      </c>
      <c r="DZ69" s="491" t="str">
        <f t="shared" si="26"/>
        <v/>
      </c>
      <c r="EE69" s="35">
        <f>(COUNTIF($J69:$O69,"&lt;&gt;"))*参照データ!$E$3</f>
        <v>0</v>
      </c>
      <c r="EF69" s="219" t="str">
        <f>IF($Y69="○",参照データ!$E$4,"")</f>
        <v/>
      </c>
      <c r="EG69" s="18">
        <f>(SUM(COUNTIF($R69:$V69,{"入門","初級"}))*参照データ!$E$9)+(SUM(COUNTIF($R69:$V69,{"中級","上級"})*参照データ!$E$10))</f>
        <v>0</v>
      </c>
      <c r="EH69" s="18">
        <f>IFERROR(VLOOKUP($W69,参照データ!$D$9:$J$11,7,0),0)</f>
        <v>0</v>
      </c>
      <c r="EI69" s="18">
        <f>((COUNTIF($Z69:$AH69,"○"))*参照データ!$E$12)</f>
        <v>0</v>
      </c>
      <c r="EJ69" s="18" t="str">
        <f>(IF($AJ69="○",参照データ!$J$12,""))</f>
        <v/>
      </c>
      <c r="EM69" s="18">
        <f>((COUNTIF($Z69:$AH69,"選手権"))*参照データ!$E$13)</f>
        <v>0</v>
      </c>
      <c r="EN69" s="18" t="str">
        <f>(IF($AJ69="選手権",参照データ!$J$13,""))</f>
        <v/>
      </c>
      <c r="EO69" s="18">
        <f>(COUNTIF($AQ69:$AR69,"&lt;&gt;"))*参照データ!$H$3</f>
        <v>0</v>
      </c>
      <c r="EP69" s="18"/>
      <c r="EQ69" s="98">
        <f t="array" ref="EQ69">SUM(IF(ISERROR(EE69:EN69),0,(EE69:EN69)))</f>
        <v>0</v>
      </c>
      <c r="ER69" s="18"/>
      <c r="ES69" s="18">
        <f t="shared" si="10"/>
        <v>0</v>
      </c>
      <c r="ET69" s="18">
        <f t="shared" si="36"/>
        <v>0</v>
      </c>
      <c r="EU69" s="18">
        <f t="shared" si="27"/>
        <v>0</v>
      </c>
      <c r="EV69" s="18">
        <f t="shared" si="112"/>
        <v>0</v>
      </c>
      <c r="EW69" s="18">
        <f t="shared" si="29"/>
        <v>0</v>
      </c>
      <c r="EX69" s="18">
        <f t="shared" si="30"/>
        <v>0</v>
      </c>
      <c r="EY69" t="str">
        <f t="shared" si="31"/>
        <v/>
      </c>
    </row>
    <row r="70" spans="1:155" ht="18.75" customHeight="1" x14ac:dyDescent="0.2">
      <c r="A70">
        <v>59</v>
      </c>
      <c r="B70" s="14" t="str">
        <f>IF(D70="","",IF(D70="重複","",COUNTIF(B$12:$B69,"&gt;0")+1))</f>
        <v/>
      </c>
      <c r="C70" s="464"/>
      <c r="D70" s="177"/>
      <c r="E70" s="177"/>
      <c r="F70" s="31"/>
      <c r="G70" s="41"/>
      <c r="H70" s="351">
        <f t="shared" si="32"/>
        <v>0</v>
      </c>
      <c r="I70" s="193" t="str">
        <f>IF($AW70=0,"",DATEDIF($AW70,参照データ!$D$16,"Y"))</f>
        <v/>
      </c>
      <c r="J70" s="517"/>
      <c r="K70" s="517"/>
      <c r="L70" s="517"/>
      <c r="M70" s="517"/>
      <c r="N70" s="517"/>
      <c r="O70" s="518"/>
      <c r="P70" s="345"/>
      <c r="Q70" s="345"/>
      <c r="R70" s="519"/>
      <c r="S70" s="244"/>
      <c r="T70" s="244"/>
      <c r="U70" s="244"/>
      <c r="V70" s="245"/>
      <c r="W70" s="249"/>
      <c r="X70" s="251"/>
      <c r="Y70" s="345"/>
      <c r="Z70" s="388"/>
      <c r="AA70" s="346" t="str">
        <f>IF($Z70="○",VLOOKUP($CB70,参照データ!$D$65:$M$82,9,0),IF($Z70="選手権",VLOOKUP($DE70,参照データ!$D$88:$O$117,10,0),""))</f>
        <v/>
      </c>
      <c r="AB70" s="388"/>
      <c r="AC70" s="346" t="str">
        <f>IF($AB70="○",VLOOKUP($CB70,参照データ!$D$65:$M$82,10,0),IF($AB70="選手権",VLOOKUP($DE70,参照データ!$D$88:$O$117,11,0),""))</f>
        <v/>
      </c>
      <c r="AD70" s="388"/>
      <c r="AE70" s="346" t="str">
        <f>IF($AD70="○",VLOOKUP($CB70,参照データ!$D$65:$M$82,10,0),IF($AD70="選手権",VLOOKUP($DE70,参照データ!$D$88:$O$117,11,0),""))</f>
        <v/>
      </c>
      <c r="AF70" s="388"/>
      <c r="AG70" s="346" t="str">
        <f>IF($AF70="○",VLOOKUP($CB70,参照データ!$D$65:$M$82,10,0),IF($AF70="選手権",VLOOKUP($DL70,参照データ!$D$88:$O$117,12,0),""))</f>
        <v/>
      </c>
      <c r="AH70" s="388"/>
      <c r="AI70" s="346" t="str">
        <f>IF($AH70="○",VLOOKUP($CB70,参照データ!$D$65:$M$82,10,0),IF($AH70="選手権",VLOOKUP($DL70,参照データ!$D$88:$O$117,12,0),""))</f>
        <v/>
      </c>
      <c r="AJ70" s="388"/>
      <c r="AK70" s="511"/>
      <c r="AL70" s="346" t="str">
        <f t="shared" si="3"/>
        <v/>
      </c>
      <c r="AM70" s="393"/>
      <c r="AN70" s="391"/>
      <c r="AO70" s="465"/>
      <c r="AP70" s="447"/>
      <c r="AQ70" s="321"/>
      <c r="AR70" s="481"/>
      <c r="AS70" s="393"/>
      <c r="AT70" s="483"/>
      <c r="AW70">
        <f t="shared" si="45"/>
        <v>0</v>
      </c>
      <c r="AX70" t="str">
        <f t="shared" si="122"/>
        <v/>
      </c>
      <c r="AY70" s="132"/>
      <c r="BA70" s="513" t="str">
        <f>IF(団体情報・入力の仕方!$C$3&lt;&gt;"大田区大会","",IF(AW70=0,"",IF(I70&gt;=18,"○","")))</f>
        <v/>
      </c>
      <c r="BB70" s="53" t="str">
        <f>IF($AW70=0,"",IF(AND($I70&gt;=6,$I70&lt;=19),VLOOKUP($I70,参照データ!$B$24:$C$37,2,0),IF($I70&lt;6,6,19)))</f>
        <v/>
      </c>
      <c r="BC70" s="155" t="str">
        <f>IF($J70="○",VLOOKUP($BB70,参照データ!$C$24:$I$37,2,0),"")</f>
        <v/>
      </c>
      <c r="BD70" s="146" t="str">
        <f>IF($K70="○",VLOOKUP($BB70,参照データ!$C$24:$I$37,3,0),"")</f>
        <v/>
      </c>
      <c r="BE70" s="146" t="str">
        <f>IF($L70="○",VLOOKUP($BB70,参照データ!$C$24:$I$37,4,0),"")</f>
        <v/>
      </c>
      <c r="BF70" s="146" t="str">
        <f>IF($M70="○",VLOOKUP($BB70,参照データ!$C$24:$I$37,5,0),"")</f>
        <v/>
      </c>
      <c r="BG70" s="146" t="str">
        <f>IF($N70="20日",VLOOKUP($BB70,参照データ!$C$24:$I$37,6,0),"")</f>
        <v/>
      </c>
      <c r="BH70" s="156" t="str">
        <f>IF($O70="20日",VLOOKUP($BB70,参照データ!$C$24:$I$37,7,0),"")</f>
        <v/>
      </c>
      <c r="BI70" s="155" t="str">
        <f>IF($J70="21日",VLOOKUP($BB70,参照データ!$C$24:$I$37,2,0),"")</f>
        <v/>
      </c>
      <c r="BJ70" s="146" t="str">
        <f>IF($K70="21日",VLOOKUP($BB70,参照データ!$C$24:$I$37,3,0),"")</f>
        <v/>
      </c>
      <c r="BK70" s="146" t="str">
        <f>IF($L70="21日",VLOOKUP($BB70,参照データ!$C$24:$I$37,4,0),"")</f>
        <v/>
      </c>
      <c r="BL70" s="146" t="str">
        <f>IF($M70="21日",VLOOKUP($BB70,参照データ!$C$24:$I$37,5,0),"")</f>
        <v/>
      </c>
      <c r="BM70" s="146" t="str">
        <f>IF($N70="21日",VLOOKUP($BB70,参照データ!$C$24:$I$37,6,0),"")</f>
        <v/>
      </c>
      <c r="BN70" s="156" t="str">
        <f>IF($O70="21日",VLOOKUP($BB70,参照データ!$C$24:$I$37,7,0),"")</f>
        <v/>
      </c>
      <c r="BO70" s="223" t="str">
        <f t="shared" si="40"/>
        <v/>
      </c>
      <c r="BP70" s="154" t="str">
        <f>IF($R70="入門",VLOOKUP($BB70,参照データ!$C$43:$U$56,2,0),IF($R70="初級",VLOOKUP($BB70,参照データ!$C$43:$U$56,3,0),IF($R70="中級",VLOOKUP($BB70,参照データ!$C$43:$U$56,4,0),IF($R70="上級",VLOOKUP($BB70,参照データ!$C$43:$U$56,5,0),""))))</f>
        <v/>
      </c>
      <c r="BQ70" s="154" t="str">
        <f>IF($S70="初級",VLOOKUP($BB70,参照データ!$C$43:$U$56,6,0),IF($S70="中級",VLOOKUP($BB70,参照データ!$C$43:$U$56,7,0),IF($S70="上級",VLOOKUP($BB70,参照データ!$C$43:$U$56,8,0),"")))</f>
        <v/>
      </c>
      <c r="BR70" s="154" t="str">
        <f>IF($T70="初級",VLOOKUP($BB70,参照データ!$C$43:$U$56,9,0),IF($T70="上級",VLOOKUP($BB70,参照データ!$C$43:$U$56,10,0),""))</f>
        <v/>
      </c>
      <c r="BS70" s="154" t="str">
        <f>IF($U70="初級",VLOOKUP($BB70,参照データ!$C$43:$U$56,11,0),IF($U70="中級",VLOOKUP($BB70,参照データ!$C$43:$U$56,12,0),IF($U70="上級",VLOOKUP($BB70,参照データ!$C$43:$U$56,13,0),"")))</f>
        <v/>
      </c>
      <c r="BT70" s="154" t="str">
        <f>IF($V70="初級",VLOOKUP($BB70,参照データ!$C$43:$U$56,14,0),IF($V70="中級",VLOOKUP($BB70,参照データ!$C$43:$U$56,15,0),IF($V70="上級",VLOOKUP($BB70,参照データ!$C$43:$U$56,16,0),"")))</f>
        <v/>
      </c>
      <c r="BU70" s="47" t="str">
        <f t="shared" si="4"/>
        <v/>
      </c>
      <c r="BV70" s="47" t="str">
        <f>IF($W70="初級",VLOOKUP($BB70,参照データ!$C$43:$U$56,17,0),IF($W70="中級",VLOOKUP($BB70,参照データ!$C$43:$U$56,18,0),IF($W70="上級",VLOOKUP($BB70,参照データ!$C$43:$U$56,19,0),"")))</f>
        <v/>
      </c>
      <c r="BW70" s="686">
        <v>30</v>
      </c>
      <c r="BX70" s="66" t="s">
        <v>143</v>
      </c>
      <c r="BY70" s="136" t="str">
        <f t="shared" si="11"/>
        <v/>
      </c>
      <c r="BZ70" s="688" t="str">
        <f t="shared" ref="BZ70" si="124">IF(OR($BY70="",$BY71=""),"",IF($BY70&gt;$BY71,$BY70,$BY71))</f>
        <v/>
      </c>
      <c r="CB70" s="53" t="str">
        <f>IF(AND($AW70&gt;=参照データ!$C$67,$AW70&lt;=参照データ!$C$65),1,IF(AND($AW70&gt;=参照データ!$C$70,$AW70&lt;=参照データ!$C$68),2,IF(AND($AW70&gt;=参照データ!$C$73,$AW70&lt;=参照データ!$C$71),3,IF(AND($AW70&gt;=参照データ!$C$76,$AW70&lt;=参照データ!$C$74),4,IF(AND($AW70&gt;=参照データ!$C$79,$AW70&lt;=参照データ!$C$77),5,IF(AND($AW70&gt;0,$AW70&lt;=参照データ!$C$80),6,""))))))</f>
        <v/>
      </c>
      <c r="CC70" s="141" t="str">
        <f>IF($Z70="○",(VLOOKUP($CB70,参照データ!$D$65:$J$82,2,0)),"")</f>
        <v/>
      </c>
      <c r="CD70" s="71" t="str">
        <f t="shared" si="12"/>
        <v/>
      </c>
      <c r="CE70" s="70" t="str">
        <f>IF($AB70="○",(VLOOKUP($CB70,参照データ!$D$65:$J$82,3,0)),"")</f>
        <v/>
      </c>
      <c r="CF70" s="71" t="str">
        <f t="shared" si="13"/>
        <v/>
      </c>
      <c r="CG70" s="70" t="str">
        <f>IF($AD70="○",(VLOOKUP($CB70,参照データ!$D$65:$J$82,4,0)),"")</f>
        <v/>
      </c>
      <c r="CH70" s="71" t="str">
        <f t="shared" si="14"/>
        <v/>
      </c>
      <c r="CI70" s="70" t="str">
        <f>IF($AF70="○",(VLOOKUP($CB70,参照データ!$D$65:$J$82,5,0)),"")</f>
        <v/>
      </c>
      <c r="CJ70" s="71" t="str">
        <f t="shared" si="5"/>
        <v/>
      </c>
      <c r="CK70" s="70" t="str">
        <f>IF($AH70="○",(VLOOKUP($CB70,参照データ!$D$65:$J$82,6,0)),"")</f>
        <v/>
      </c>
      <c r="CL70" s="71" t="str">
        <f t="shared" si="15"/>
        <v/>
      </c>
      <c r="CM70" s="33" t="str">
        <f t="shared" si="16"/>
        <v/>
      </c>
      <c r="CN70" s="32" t="str">
        <f t="shared" si="17"/>
        <v/>
      </c>
      <c r="CO70" s="71" t="str">
        <f t="shared" si="18"/>
        <v/>
      </c>
      <c r="CP70" s="681">
        <v>30</v>
      </c>
      <c r="CQ70" s="79" t="s">
        <v>143</v>
      </c>
      <c r="CR70" s="80" t="str">
        <f t="shared" si="19"/>
        <v/>
      </c>
      <c r="CS70" s="683" t="e">
        <f>IF($CR70&gt;$CR71,VLOOKUP($CR70,参照データ!$D$65:$J$82,7,0),VLOOKUP($CR71,参照データ!$D$65:$J$82,7,0))</f>
        <v>#N/A</v>
      </c>
      <c r="CT70" s="308" t="str">
        <f>IFERROR(VLOOKUP($CS70,参照データ!$J$65:$M$82,4,0),"")</f>
        <v/>
      </c>
      <c r="CU70" s="70"/>
      <c r="CV70" s="172" t="str">
        <f t="shared" si="20"/>
        <v/>
      </c>
      <c r="CX70" s="32"/>
      <c r="CY70" s="161" t="str">
        <f t="shared" si="21"/>
        <v/>
      </c>
      <c r="CZ70" s="743">
        <v>30</v>
      </c>
      <c r="DA70" s="166" t="s">
        <v>143</v>
      </c>
      <c r="DB70" s="167" t="str">
        <f t="shared" si="42"/>
        <v/>
      </c>
      <c r="DC70" s="741" t="str">
        <f>IF(OR(DB70="",DB71=""),"",IF(DB70&gt;DB71,DB70,DB71))</f>
        <v/>
      </c>
      <c r="DD70" t="str">
        <f>IF($DE70="","",DATEDIF($AW70,参照データ!$D$19,"Y"))</f>
        <v/>
      </c>
      <c r="DE70" s="253" t="str">
        <f>IFERROR(IF($AX70="男子",VLOOKUP($DL70,参照データ!$D$88:$E$117,2,0),$DL70),0)</f>
        <v/>
      </c>
      <c r="DF70" s="84" t="str">
        <f>IF($Z70="選手権",(VLOOKUP($DE70,参照データ!$D$88:$K$117,3,0)),"")</f>
        <v/>
      </c>
      <c r="DG70" s="85" t="str">
        <f t="shared" si="6"/>
        <v/>
      </c>
      <c r="DH70" s="84" t="str">
        <f>IF($AB70="選手権",(VLOOKUP($DE70,参照データ!$D$88:$K$117,4,0)),"")</f>
        <v/>
      </c>
      <c r="DI70" s="85" t="str">
        <f t="shared" si="7"/>
        <v/>
      </c>
      <c r="DJ70" s="84" t="str">
        <f>IF($AD70="選手権",(VLOOKUP($DE70,参照データ!$D$88:$K$117,5,0)),"")</f>
        <v/>
      </c>
      <c r="DK70" s="85" t="str">
        <f t="shared" si="8"/>
        <v/>
      </c>
      <c r="DL70" s="53" t="str">
        <f>IF(AND($AW70&gt;=参照データ!$C$90,$AW70&lt;=参照データ!$C$88),1,IF(AND($AW70&gt;=参照データ!$C$93,$AW70&lt;=参照データ!$C$91),2,IF(AND($AW70&gt;=参照データ!$C$99,$AW70&lt;=参照データ!$C$97),3,IF(AND($AW70&gt;=参照データ!$C$105,$AW70&lt;=参照データ!$C$103),4,IF(AND($AW70&gt;=参照データ!$C$111,$AW70&lt;=参照データ!$C$109),5,IF(AND($AW70&gt;0,$AW70&lt;=参照データ!$C$112),6,""))))))</f>
        <v/>
      </c>
      <c r="DM70" s="84" t="str">
        <f>IF($AF70="選手権",(VLOOKUP($DL70,参照データ!$D$88:$K$117,6,0)),"")</f>
        <v/>
      </c>
      <c r="DN70" s="85" t="str">
        <f t="shared" si="9"/>
        <v/>
      </c>
      <c r="DO70" s="84" t="str">
        <f>IF($AH70="選手権",(VLOOKUP($DL70,参照データ!$D$88:$K$117,7,0)),"")</f>
        <v/>
      </c>
      <c r="DP70" s="85" t="str">
        <f t="shared" si="22"/>
        <v/>
      </c>
      <c r="DQ70" s="33" t="str">
        <f t="shared" si="23"/>
        <v/>
      </c>
      <c r="DR70" s="32" t="str">
        <f t="shared" si="24"/>
        <v/>
      </c>
      <c r="DS70" s="85" t="str">
        <f t="shared" si="25"/>
        <v/>
      </c>
      <c r="DT70" s="736">
        <v>30</v>
      </c>
      <c r="DU70" s="93" t="s">
        <v>143</v>
      </c>
      <c r="DV70" s="94" t="str">
        <f t="shared" si="35"/>
        <v/>
      </c>
      <c r="DW70" s="737" t="e">
        <f>IF($DV70&gt;$DV71,VLOOKUP($DV70,参照データ!$D$88:$K$117,8,0),VLOOKUP($DV71,参照データ!$D$88:$K$117,8,0))</f>
        <v>#N/A</v>
      </c>
      <c r="DX70" s="312" t="str">
        <f t="shared" ref="DX70" si="125">$DX69</f>
        <v/>
      </c>
      <c r="DZ70" s="491" t="str">
        <f t="shared" si="26"/>
        <v/>
      </c>
      <c r="EE70" s="35">
        <f>(COUNTIF($J70:$O70,"&lt;&gt;"))*参照データ!$E$3</f>
        <v>0</v>
      </c>
      <c r="EF70" s="219" t="str">
        <f>IF($Y70="○",参照データ!$E$4,"")</f>
        <v/>
      </c>
      <c r="EG70" s="18">
        <f>(SUM(COUNTIF($R70:$V70,{"入門","初級"}))*参照データ!$E$9)+(SUM(COUNTIF($R70:$V70,{"中級","上級"})*参照データ!$E$10))</f>
        <v>0</v>
      </c>
      <c r="EH70" s="18">
        <f>IFERROR(VLOOKUP($W70,参照データ!$D$9:$J$11,7,0),0)</f>
        <v>0</v>
      </c>
      <c r="EI70" s="18">
        <f>((COUNTIF($Z70:$AH70,"○"))*参照データ!$E$12)</f>
        <v>0</v>
      </c>
      <c r="EJ70" s="18" t="str">
        <f>(IF($AJ70="○",参照データ!$J$12,""))</f>
        <v/>
      </c>
      <c r="EM70" s="18">
        <f>((COUNTIF($Z70:$AH70,"選手権"))*参照データ!$E$13)</f>
        <v>0</v>
      </c>
      <c r="EN70" s="18" t="str">
        <f>(IF($AJ70="選手権",参照データ!$J$13,""))</f>
        <v/>
      </c>
      <c r="EO70" s="18">
        <f>(COUNTIF($AQ70:$AR70,"&lt;&gt;"))*参照データ!$H$3</f>
        <v>0</v>
      </c>
      <c r="EP70" s="18"/>
      <c r="EQ70" s="98">
        <f t="array" ref="EQ70">SUM(IF(ISERROR(EE70:EN70),0,(EE70:EN70)))</f>
        <v>0</v>
      </c>
      <c r="ER70" s="18"/>
      <c r="ES70" s="18">
        <f t="shared" si="10"/>
        <v>0</v>
      </c>
      <c r="ET70" s="18">
        <f t="shared" si="36"/>
        <v>0</v>
      </c>
      <c r="EU70" s="18">
        <f t="shared" si="27"/>
        <v>0</v>
      </c>
      <c r="EV70" s="18">
        <f t="shared" si="112"/>
        <v>0</v>
      </c>
      <c r="EW70" s="18">
        <f t="shared" si="29"/>
        <v>0</v>
      </c>
      <c r="EX70" s="18">
        <f t="shared" si="30"/>
        <v>0</v>
      </c>
      <c r="EY70" t="str">
        <f t="shared" si="31"/>
        <v/>
      </c>
    </row>
    <row r="71" spans="1:155" ht="18.75" customHeight="1" thickBot="1" x14ac:dyDescent="0.25">
      <c r="A71" s="176">
        <v>60</v>
      </c>
      <c r="B71" s="14" t="str">
        <f>IF(D71="","",IF(D71="重複","",COUNTIF(B$12:$B70,"&gt;0")+1))</f>
        <v/>
      </c>
      <c r="C71" s="464"/>
      <c r="D71" s="177"/>
      <c r="E71" s="177"/>
      <c r="F71" s="31"/>
      <c r="G71" s="41"/>
      <c r="H71" s="351">
        <f t="shared" si="32"/>
        <v>0</v>
      </c>
      <c r="I71" s="193" t="str">
        <f>IF($AW71=0,"",DATEDIF($AW71,参照データ!$D$16,"Y"))</f>
        <v/>
      </c>
      <c r="J71" s="517"/>
      <c r="K71" s="517"/>
      <c r="L71" s="517"/>
      <c r="M71" s="517"/>
      <c r="N71" s="517"/>
      <c r="O71" s="518"/>
      <c r="P71" s="345"/>
      <c r="Q71" s="345"/>
      <c r="R71" s="519"/>
      <c r="S71" s="244"/>
      <c r="T71" s="244"/>
      <c r="U71" s="244"/>
      <c r="V71" s="245"/>
      <c r="W71" s="248"/>
      <c r="X71" s="250"/>
      <c r="Y71" s="448"/>
      <c r="Z71" s="388"/>
      <c r="AA71" s="346" t="str">
        <f>IF($Z71="○",VLOOKUP($CB71,参照データ!$D$65:$M$82,9,0),IF($Z71="選手権",VLOOKUP($DE71,参照データ!$D$88:$O$117,10,0),""))</f>
        <v/>
      </c>
      <c r="AB71" s="388"/>
      <c r="AC71" s="346" t="str">
        <f>IF($AB71="○",VLOOKUP($CB71,参照データ!$D$65:$M$82,10,0),IF($AB71="選手権",VLOOKUP($DE71,参照データ!$D$88:$O$117,11,0),""))</f>
        <v/>
      </c>
      <c r="AD71" s="388"/>
      <c r="AE71" s="346" t="str">
        <f>IF($AD71="○",VLOOKUP($CB71,参照データ!$D$65:$M$82,10,0),IF($AD71="選手権",VLOOKUP($DE71,参照データ!$D$88:$O$117,11,0),""))</f>
        <v/>
      </c>
      <c r="AF71" s="388"/>
      <c r="AG71" s="346" t="str">
        <f>IF($AF71="○",VLOOKUP($CB71,参照データ!$D$65:$M$82,10,0),IF($AF71="選手権",VLOOKUP($DL71,参照データ!$D$88:$O$117,12,0),""))</f>
        <v/>
      </c>
      <c r="AH71" s="388"/>
      <c r="AI71" s="346" t="str">
        <f>IF($AH71="○",VLOOKUP($CB71,参照データ!$D$65:$M$82,10,0),IF($AH71="選手権",VLOOKUP($DL71,参照データ!$D$88:$O$117,12,0),""))</f>
        <v/>
      </c>
      <c r="AJ71" s="388"/>
      <c r="AK71" s="511"/>
      <c r="AL71" s="346" t="str">
        <f t="shared" si="3"/>
        <v/>
      </c>
      <c r="AM71" s="449"/>
      <c r="AN71" s="450"/>
      <c r="AO71" s="450"/>
      <c r="AP71" s="447"/>
      <c r="AQ71" s="321"/>
      <c r="AR71" s="481"/>
      <c r="AS71" s="484"/>
      <c r="AT71" s="485"/>
      <c r="AW71">
        <f t="shared" si="45"/>
        <v>0</v>
      </c>
      <c r="AX71" t="str">
        <f t="shared" si="122"/>
        <v/>
      </c>
      <c r="AY71" s="132"/>
      <c r="BA71" s="513" t="str">
        <f>IF(団体情報・入力の仕方!$C$3&lt;&gt;"大田区大会","",IF(AW71=0,"",IF(I71&gt;=18,"○","")))</f>
        <v/>
      </c>
      <c r="BB71" s="53" t="str">
        <f>IF($AW71=0,"",IF(AND($I71&gt;=6,$I71&lt;=19),VLOOKUP($I71,参照データ!$B$24:$C$37,2,0),IF($I71&lt;6,6,19)))</f>
        <v/>
      </c>
      <c r="BC71" s="155" t="str">
        <f>IF($J71="○",VLOOKUP($BB71,参照データ!$C$24:$I$37,2,0),"")</f>
        <v/>
      </c>
      <c r="BD71" s="146" t="str">
        <f>IF($K71="○",VLOOKUP($BB71,参照データ!$C$24:$I$37,3,0),"")</f>
        <v/>
      </c>
      <c r="BE71" s="146" t="str">
        <f>IF($L71="○",VLOOKUP($BB71,参照データ!$C$24:$I$37,4,0),"")</f>
        <v/>
      </c>
      <c r="BF71" s="146" t="str">
        <f>IF($M71="○",VLOOKUP($BB71,参照データ!$C$24:$I$37,5,0),"")</f>
        <v/>
      </c>
      <c r="BG71" s="146" t="str">
        <f>IF($N71="20日",VLOOKUP($BB71,参照データ!$C$24:$I$37,6,0),"")</f>
        <v/>
      </c>
      <c r="BH71" s="156" t="str">
        <f>IF($O71="20日",VLOOKUP($BB71,参照データ!$C$24:$I$37,7,0),"")</f>
        <v/>
      </c>
      <c r="BI71" s="155" t="str">
        <f>IF($J71="21日",VLOOKUP($BB71,参照データ!$C$24:$I$37,2,0),"")</f>
        <v/>
      </c>
      <c r="BJ71" s="146" t="str">
        <f>IF($K71="21日",VLOOKUP($BB71,参照データ!$C$24:$I$37,3,0),"")</f>
        <v/>
      </c>
      <c r="BK71" s="146" t="str">
        <f>IF($L71="21日",VLOOKUP($BB71,参照データ!$C$24:$I$37,4,0),"")</f>
        <v/>
      </c>
      <c r="BL71" s="146" t="str">
        <f>IF($M71="21日",VLOOKUP($BB71,参照データ!$C$24:$I$37,5,0),"")</f>
        <v/>
      </c>
      <c r="BM71" s="146" t="str">
        <f>IF($N71="21日",VLOOKUP($BB71,参照データ!$C$24:$I$37,6,0),"")</f>
        <v/>
      </c>
      <c r="BN71" s="156" t="str">
        <f>IF($O71="21日",VLOOKUP($BB71,参照データ!$C$24:$I$37,7,0),"")</f>
        <v/>
      </c>
      <c r="BO71" s="223" t="str">
        <f t="shared" si="40"/>
        <v/>
      </c>
      <c r="BP71" s="154" t="str">
        <f>IF($R71="入門",VLOOKUP($BB71,参照データ!$C$43:$U$56,2,0),IF($R71="初級",VLOOKUP($BB71,参照データ!$C$43:$U$56,3,0),IF($R71="中級",VLOOKUP($BB71,参照データ!$C$43:$U$56,4,0),IF($R71="上級",VLOOKUP($BB71,参照データ!$C$43:$U$56,5,0),""))))</f>
        <v/>
      </c>
      <c r="BQ71" s="154" t="str">
        <f>IF($S71="初級",VLOOKUP($BB71,参照データ!$C$43:$U$56,6,0),IF($S71="中級",VLOOKUP($BB71,参照データ!$C$43:$U$56,7,0),IF($S71="上級",VLOOKUP($BB71,参照データ!$C$43:$U$56,8,0),"")))</f>
        <v/>
      </c>
      <c r="BR71" s="154" t="str">
        <f>IF($T71="初級",VLOOKUP($BB71,参照データ!$C$43:$U$56,9,0),IF($T71="上級",VLOOKUP($BB71,参照データ!$C$43:$U$56,10,0),""))</f>
        <v/>
      </c>
      <c r="BS71" s="154" t="str">
        <f>IF($U71="初級",VLOOKUP($BB71,参照データ!$C$43:$U$56,11,0),IF($U71="中級",VLOOKUP($BB71,参照データ!$C$43:$U$56,12,0),IF($U71="上級",VLOOKUP($BB71,参照データ!$C$43:$U$56,13,0),"")))</f>
        <v/>
      </c>
      <c r="BT71" s="154" t="str">
        <f>IF($V71="初級",VLOOKUP($BB71,参照データ!$C$43:$U$56,14,0),IF($V71="中級",VLOOKUP($BB71,参照データ!$C$43:$U$56,15,0),IF($V71="上級",VLOOKUP($BB71,参照データ!$C$43:$U$56,16,0),"")))</f>
        <v/>
      </c>
      <c r="BU71" s="47" t="str">
        <f t="shared" si="4"/>
        <v/>
      </c>
      <c r="BV71" s="47" t="str">
        <f>IF($W71="初級",VLOOKUP($BB71,参照データ!$C$43:$U$56,17,0),IF($W71="中級",VLOOKUP($BB71,参照データ!$C$43:$U$56,18,0),IF($W71="上級",VLOOKUP($BB71,参照データ!$C$43:$U$56,19,0),"")))</f>
        <v/>
      </c>
      <c r="BW71" s="723"/>
      <c r="BX71" s="67" t="s">
        <v>144</v>
      </c>
      <c r="BY71" s="135" t="str">
        <f t="shared" si="11"/>
        <v/>
      </c>
      <c r="BZ71" s="689"/>
      <c r="CB71" s="53" t="str">
        <f>IF(AND($AW71&gt;=参照データ!$C$67,$AW71&lt;=参照データ!$C$65),1,IF(AND($AW71&gt;=参照データ!$C$70,$AW71&lt;=参照データ!$C$68),2,IF(AND($AW71&gt;=参照データ!$C$73,$AW71&lt;=参照データ!$C$71),3,IF(AND($AW71&gt;=参照データ!$C$76,$AW71&lt;=参照データ!$C$74),4,IF(AND($AW71&gt;=参照データ!$C$79,$AW71&lt;=参照データ!$C$77),5,IF(AND($AW71&gt;0,$AW71&lt;=参照データ!$C$80),6,""))))))</f>
        <v/>
      </c>
      <c r="CC71" s="141" t="str">
        <f>IF($Z71="○",(VLOOKUP($CB71,参照データ!$D$65:$J$82,2,0)),"")</f>
        <v/>
      </c>
      <c r="CD71" s="71" t="str">
        <f t="shared" si="12"/>
        <v/>
      </c>
      <c r="CE71" s="70" t="str">
        <f>IF($AB71="○",(VLOOKUP($CB71,参照データ!$D$65:$J$82,3,0)),"")</f>
        <v/>
      </c>
      <c r="CF71" s="71" t="str">
        <f t="shared" si="13"/>
        <v/>
      </c>
      <c r="CG71" s="70" t="str">
        <f>IF($AD71="○",(VLOOKUP($CB71,参照データ!$D$65:$J$82,4,0)),"")</f>
        <v/>
      </c>
      <c r="CH71" s="71" t="str">
        <f t="shared" si="14"/>
        <v/>
      </c>
      <c r="CI71" s="70" t="str">
        <f>IF($AF71="○",(VLOOKUP($CB71,参照データ!$D$65:$J$82,5,0)),"")</f>
        <v/>
      </c>
      <c r="CJ71" s="71" t="str">
        <f t="shared" si="5"/>
        <v/>
      </c>
      <c r="CK71" s="70" t="str">
        <f>IF($AH71="○",(VLOOKUP($CB71,参照データ!$D$65:$J$82,6,0)),"")</f>
        <v/>
      </c>
      <c r="CL71" s="71" t="str">
        <f t="shared" si="15"/>
        <v/>
      </c>
      <c r="CM71" s="33" t="str">
        <f t="shared" si="16"/>
        <v/>
      </c>
      <c r="CN71" s="32" t="str">
        <f t="shared" si="17"/>
        <v/>
      </c>
      <c r="CO71" s="71" t="str">
        <f t="shared" si="18"/>
        <v/>
      </c>
      <c r="CP71" s="685"/>
      <c r="CQ71" s="81" t="s">
        <v>144</v>
      </c>
      <c r="CR71" s="78" t="str">
        <f t="shared" si="19"/>
        <v/>
      </c>
      <c r="CS71" s="684"/>
      <c r="CT71" s="308" t="str">
        <f t="shared" ref="CT71" si="126">$CT70</f>
        <v/>
      </c>
      <c r="CU71" s="70"/>
      <c r="CV71" s="172" t="str">
        <f t="shared" si="20"/>
        <v/>
      </c>
      <c r="CX71" s="32"/>
      <c r="CY71" s="161" t="str">
        <f t="shared" si="21"/>
        <v/>
      </c>
      <c r="CZ71" s="796"/>
      <c r="DA71" s="168" t="s">
        <v>144</v>
      </c>
      <c r="DB71" s="165" t="str">
        <f t="shared" si="42"/>
        <v/>
      </c>
      <c r="DC71" s="797"/>
      <c r="DD71" t="str">
        <f>IF($DE71="","",DATEDIF($AW71,参照データ!$D$19,"Y"))</f>
        <v/>
      </c>
      <c r="DE71" s="253" t="str">
        <f>IFERROR(IF($AX71="男子",VLOOKUP($DL71,参照データ!$D$88:$E$117,2,0),$DL71),0)</f>
        <v/>
      </c>
      <c r="DF71" s="84" t="str">
        <f>IF($Z71="選手権",(VLOOKUP($DE71,参照データ!$D$88:$K$117,3,0)),"")</f>
        <v/>
      </c>
      <c r="DG71" s="85" t="str">
        <f t="shared" si="6"/>
        <v/>
      </c>
      <c r="DH71" s="84" t="str">
        <f>IF($AB71="選手権",(VLOOKUP($DE71,参照データ!$D$88:$K$117,4,0)),"")</f>
        <v/>
      </c>
      <c r="DI71" s="85" t="str">
        <f t="shared" si="7"/>
        <v/>
      </c>
      <c r="DJ71" s="84" t="str">
        <f>IF($AD71="選手権",(VLOOKUP($DE71,参照データ!$D$88:$K$117,5,0)),"")</f>
        <v/>
      </c>
      <c r="DK71" s="85" t="str">
        <f t="shared" si="8"/>
        <v/>
      </c>
      <c r="DL71" s="53" t="str">
        <f>IF(AND($AW71&gt;=参照データ!$C$90,$AW71&lt;=参照データ!$C$88),1,IF(AND($AW71&gt;=参照データ!$C$93,$AW71&lt;=参照データ!$C$91),2,IF(AND($AW71&gt;=参照データ!$C$99,$AW71&lt;=参照データ!$C$97),3,IF(AND($AW71&gt;=参照データ!$C$105,$AW71&lt;=参照データ!$C$103),4,IF(AND($AW71&gt;=参照データ!$C$111,$AW71&lt;=参照データ!$C$109),5,IF(AND($AW71&gt;0,$AW71&lt;=参照データ!$C$112),6,""))))))</f>
        <v/>
      </c>
      <c r="DM71" s="84" t="str">
        <f>IF($AF71="選手権",(VLOOKUP($DL71,参照データ!$D$88:$K$117,6,0)),"")</f>
        <v/>
      </c>
      <c r="DN71" s="85" t="str">
        <f t="shared" si="9"/>
        <v/>
      </c>
      <c r="DO71" s="84" t="str">
        <f>IF($AH71="選手権",(VLOOKUP($DL71,参照データ!$D$88:$K$117,7,0)),"")</f>
        <v/>
      </c>
      <c r="DP71" s="85" t="str">
        <f t="shared" si="22"/>
        <v/>
      </c>
      <c r="DQ71" s="33" t="str">
        <f t="shared" si="23"/>
        <v/>
      </c>
      <c r="DR71" s="32" t="str">
        <f t="shared" si="24"/>
        <v/>
      </c>
      <c r="DS71" s="85" t="str">
        <f t="shared" si="25"/>
        <v/>
      </c>
      <c r="DT71" s="791"/>
      <c r="DU71" s="95" t="s">
        <v>144</v>
      </c>
      <c r="DV71" s="92" t="str">
        <f t="shared" si="35"/>
        <v/>
      </c>
      <c r="DW71" s="735"/>
      <c r="DX71" s="312" t="str">
        <f>IFERROR(VLOOKUP($DW71,参照データ!$K$88:$O$117,5,0),"")</f>
        <v/>
      </c>
      <c r="DZ71" s="491" t="str">
        <f t="shared" si="26"/>
        <v/>
      </c>
      <c r="EE71" s="35">
        <f>(COUNTIF($J71:$O71,"&lt;&gt;"))*参照データ!$E$3</f>
        <v>0</v>
      </c>
      <c r="EF71" s="219" t="str">
        <f>IF($Y71="○",参照データ!$E$4,"")</f>
        <v/>
      </c>
      <c r="EG71" s="18">
        <f>(SUM(COUNTIF($R71:$V71,{"入門","初級"}))*参照データ!$E$9)+(SUM(COUNTIF($R71:$V71,{"中級","上級"})*参照データ!$E$10))</f>
        <v>0</v>
      </c>
      <c r="EH71" s="18">
        <f>IFERROR(VLOOKUP($W71,参照データ!$D$9:$J$11,7,0),0)</f>
        <v>0</v>
      </c>
      <c r="EI71" s="18">
        <f>((COUNTIF($Z71:$AH71,"○"))*参照データ!$E$12)</f>
        <v>0</v>
      </c>
      <c r="EJ71" s="18" t="str">
        <f>(IF($AJ71="○",参照データ!$J$12,""))</f>
        <v/>
      </c>
      <c r="EM71" s="18">
        <f>((COUNTIF($Z71:$AH71,"選手権"))*参照データ!$E$13)</f>
        <v>0</v>
      </c>
      <c r="EN71" s="18" t="str">
        <f>(IF($AJ71="選手権",参照データ!$J$13,""))</f>
        <v/>
      </c>
      <c r="EO71" s="18">
        <f>(COUNTIF($AQ71:$AR71,"&lt;&gt;"))*参照データ!$H$3</f>
        <v>0</v>
      </c>
      <c r="EP71" s="18"/>
      <c r="EQ71" s="98">
        <f t="array" ref="EQ71">SUM(IF(ISERROR(EE71:EN71),0,(EE71:EN71)))</f>
        <v>0</v>
      </c>
      <c r="ER71" s="18"/>
      <c r="ES71" s="18">
        <f t="shared" si="10"/>
        <v>0</v>
      </c>
      <c r="ET71" s="18">
        <f t="shared" si="36"/>
        <v>0</v>
      </c>
      <c r="EU71" s="18">
        <f t="shared" si="27"/>
        <v>0</v>
      </c>
      <c r="EV71" s="18">
        <f t="shared" si="112"/>
        <v>0</v>
      </c>
      <c r="EW71" s="18">
        <f t="shared" si="29"/>
        <v>0</v>
      </c>
      <c r="EX71" s="18">
        <f t="shared" si="30"/>
        <v>0</v>
      </c>
      <c r="EY71" t="str">
        <f t="shared" si="31"/>
        <v/>
      </c>
    </row>
    <row r="72" spans="1:155" ht="18.75" customHeight="1" x14ac:dyDescent="0.2">
      <c r="BC72" s="1" t="s">
        <v>411</v>
      </c>
      <c r="BD72" s="1" t="s">
        <v>179</v>
      </c>
      <c r="BE72" s="1" t="s">
        <v>182</v>
      </c>
      <c r="BF72" s="1" t="s">
        <v>183</v>
      </c>
      <c r="BG72" s="1" t="s">
        <v>205</v>
      </c>
      <c r="BH72" s="1" t="s">
        <v>422</v>
      </c>
      <c r="BI72" s="1" t="s">
        <v>411</v>
      </c>
      <c r="BJ72" s="1" t="s">
        <v>179</v>
      </c>
      <c r="BK72" s="1" t="s">
        <v>182</v>
      </c>
      <c r="BL72" s="1" t="s">
        <v>183</v>
      </c>
      <c r="BM72" s="1" t="s">
        <v>205</v>
      </c>
      <c r="BN72" s="1" t="s">
        <v>422</v>
      </c>
      <c r="BO72" s="1" t="s">
        <v>457</v>
      </c>
      <c r="BP72" t="s">
        <v>578</v>
      </c>
      <c r="CC72" t="s">
        <v>775</v>
      </c>
      <c r="CD72" s="1">
        <f>COUNTIF($CC$12:$CC$71,$CC72)</f>
        <v>0</v>
      </c>
      <c r="CF72" s="1"/>
      <c r="CH72" s="1"/>
      <c r="CJ72" s="1"/>
      <c r="CL72" s="1"/>
      <c r="DF72" t="s">
        <v>775</v>
      </c>
      <c r="DG72" s="1">
        <f>COUNTIF($DF$12:$DF$71,$DF72)</f>
        <v>0</v>
      </c>
      <c r="DI72" s="1"/>
      <c r="DK72" s="1"/>
      <c r="DN72" s="1"/>
      <c r="EE72" s="18">
        <f>SUM(EE12:EE71)</f>
        <v>0</v>
      </c>
      <c r="EF72" s="18">
        <f>SUM(EF12:EF71)</f>
        <v>0</v>
      </c>
      <c r="EG72" s="18">
        <f t="shared" ref="EG72:EH72" si="127">SUM(EG12:EG71)</f>
        <v>0</v>
      </c>
      <c r="EH72" s="18">
        <f t="shared" si="127"/>
        <v>0</v>
      </c>
      <c r="EI72" s="18">
        <f>((COUNTIF($Z72:$AH72,"○"))*参照データ!$E$12)</f>
        <v>0</v>
      </c>
      <c r="EJ72" s="18">
        <f t="shared" ref="EJ72" si="128">SUM(EJ12:EJ71)</f>
        <v>0</v>
      </c>
      <c r="EK72" s="18">
        <f t="shared" ref="EK72:EO72" si="129">SUM(EK12:EK71)</f>
        <v>0</v>
      </c>
      <c r="EL72" s="18">
        <f t="shared" si="129"/>
        <v>0</v>
      </c>
      <c r="EM72" s="18">
        <f t="shared" si="129"/>
        <v>0</v>
      </c>
      <c r="EN72" s="18">
        <f t="shared" si="129"/>
        <v>0</v>
      </c>
      <c r="EO72" s="18">
        <f t="shared" si="129"/>
        <v>0</v>
      </c>
      <c r="EP72" s="18">
        <f>団体情報・入力の仕方!$P$38*1000</f>
        <v>0</v>
      </c>
    </row>
    <row r="73" spans="1:155" ht="18.75" customHeight="1" x14ac:dyDescent="0.2">
      <c r="BC73" s="1">
        <f>COUNTIF($BC$12:$BC$71,$BC72)</f>
        <v>0</v>
      </c>
      <c r="BD73" s="1">
        <f>COUNTIF($BD$12:$BD$71,$BD72)</f>
        <v>0</v>
      </c>
      <c r="BE73" s="1">
        <f>COUNTIF($BE$12:$BE$71,$BE72)</f>
        <v>0</v>
      </c>
      <c r="BF73" s="1">
        <f>COUNTIF($BF$12:$BF$71,$BF72)</f>
        <v>0</v>
      </c>
      <c r="BG73" s="1">
        <f>COUNTIF($BG$12:$BG$71,$BG72)</f>
        <v>0</v>
      </c>
      <c r="BH73" s="1">
        <f>COUNTIF($BH$12:$BH$71,$BH72)</f>
        <v>0</v>
      </c>
      <c r="BI73" s="1">
        <f>COUNTIF($BI$12:$BI$71,$BI72)</f>
        <v>0</v>
      </c>
      <c r="BJ73" s="1">
        <f>COUNTIF($BJ$12:$BJ$71,$BJ72)</f>
        <v>0</v>
      </c>
      <c r="BK73" s="1">
        <f>COUNTIF($BK$12:$BK$71,$BK72)</f>
        <v>0</v>
      </c>
      <c r="BL73" s="1">
        <f>COUNTIF($BL$12:$BL$71,$BL72)</f>
        <v>0</v>
      </c>
      <c r="BM73" s="1">
        <f>COUNTIF($BM$12:$BM$71,$BM72)</f>
        <v>0</v>
      </c>
      <c r="BN73" s="1">
        <f>COUNTIF($BN$12:$BN$71,$BN72)</f>
        <v>0</v>
      </c>
      <c r="BO73" s="1">
        <f>SUM(BO12:BO71)</f>
        <v>0</v>
      </c>
      <c r="BP73" s="1">
        <f>COUNTIF($BP$12:$BP$71,$BP72)</f>
        <v>0</v>
      </c>
      <c r="CC73" t="s">
        <v>784</v>
      </c>
      <c r="CD73" s="1">
        <f t="shared" ref="CD73:CD77" si="130">COUNTIF($CC$12:$CC$71,$CC73)</f>
        <v>0</v>
      </c>
      <c r="CE73" t="s">
        <v>779</v>
      </c>
      <c r="CF73" s="1">
        <f t="shared" ref="CF73" si="131">COUNTIF($CE$12:$CE$71,$CE73)</f>
        <v>0</v>
      </c>
      <c r="CG73" t="s">
        <v>780</v>
      </c>
      <c r="CH73" s="1">
        <f>COUNTIF($CG$12:$CG$71,$CG73)</f>
        <v>0</v>
      </c>
      <c r="CI73" t="s">
        <v>781</v>
      </c>
      <c r="CJ73" s="1">
        <f t="shared" ref="CJ73" si="132">COUNTIF($CI$12:$CI$71,$CI73)</f>
        <v>0</v>
      </c>
      <c r="CK73" t="s">
        <v>782</v>
      </c>
      <c r="CL73" s="1">
        <f>COUNTIF($CK$12:$CK$71,$CK73)</f>
        <v>0</v>
      </c>
      <c r="CS73" t="s">
        <v>783</v>
      </c>
      <c r="CT73" s="1">
        <f>COUNTIF($CS$12:$CS$71,$CS73)</f>
        <v>0</v>
      </c>
      <c r="DF73" t="s">
        <v>784</v>
      </c>
      <c r="DG73" s="1">
        <f t="shared" ref="DG73:DG81" si="133">COUNTIF($DF$12:$DF$71,$DF73)</f>
        <v>0</v>
      </c>
      <c r="DH73" t="s">
        <v>779</v>
      </c>
      <c r="DI73" s="1">
        <f>COUNTIF($DH$12:$DH$71,$DH73)</f>
        <v>0</v>
      </c>
      <c r="DJ73" t="s">
        <v>780</v>
      </c>
      <c r="DK73" s="1">
        <f>COUNTIF($DJ$12:$DJ$71,$DJ73)</f>
        <v>0</v>
      </c>
      <c r="DM73" t="s">
        <v>781</v>
      </c>
      <c r="DN73" s="1">
        <f>COUNTIF($DM$12:$DM$71,$DM73)</f>
        <v>0</v>
      </c>
      <c r="DO73" t="s">
        <v>782</v>
      </c>
      <c r="DP73" s="1">
        <f>COUNTIF($DO$12:$DO$71,$DO73)</f>
        <v>0</v>
      </c>
      <c r="DW73" t="s">
        <v>783</v>
      </c>
      <c r="DX73" s="1">
        <f>COUNTIF($DW$12:$DW$71,$DW73)</f>
        <v>0</v>
      </c>
      <c r="EE73" s="677">
        <f>SUM(EE72:EH72)</f>
        <v>0</v>
      </c>
      <c r="EF73" s="677"/>
      <c r="EG73" s="677"/>
      <c r="EH73" s="677"/>
      <c r="EI73" s="677">
        <f>SUM(EI72:EL72)</f>
        <v>0</v>
      </c>
      <c r="EJ73" s="677"/>
      <c r="EK73" s="677"/>
      <c r="EL73" s="677"/>
      <c r="EM73" s="678">
        <f>SUM(EM72:EN72)</f>
        <v>0</v>
      </c>
      <c r="EN73" s="678"/>
      <c r="EO73" s="462"/>
      <c r="EP73" s="462"/>
    </row>
    <row r="74" spans="1:155" ht="18.75" customHeight="1" x14ac:dyDescent="0.2">
      <c r="BC74" s="1" t="s">
        <v>412</v>
      </c>
      <c r="BD74" s="1" t="s">
        <v>184</v>
      </c>
      <c r="BE74" s="1" t="s">
        <v>185</v>
      </c>
      <c r="BF74" s="1" t="s">
        <v>186</v>
      </c>
      <c r="BG74" s="1" t="s">
        <v>206</v>
      </c>
      <c r="BH74" s="1" t="s">
        <v>423</v>
      </c>
      <c r="BI74" s="1" t="s">
        <v>412</v>
      </c>
      <c r="BJ74" s="1" t="s">
        <v>184</v>
      </c>
      <c r="BK74" s="1" t="s">
        <v>185</v>
      </c>
      <c r="BL74" s="1" t="s">
        <v>186</v>
      </c>
      <c r="BM74" s="1" t="s">
        <v>206</v>
      </c>
      <c r="BN74" s="1" t="s">
        <v>423</v>
      </c>
      <c r="BP74" t="s">
        <v>579</v>
      </c>
      <c r="CC74" t="s">
        <v>793</v>
      </c>
      <c r="CD74" s="1">
        <f t="shared" si="130"/>
        <v>0</v>
      </c>
      <c r="CE74" t="s">
        <v>794</v>
      </c>
      <c r="CF74" s="1">
        <f>COUNTIF($CE$12:$CE$71,$CE74)</f>
        <v>0</v>
      </c>
      <c r="CG74" t="s">
        <v>795</v>
      </c>
      <c r="CH74" s="1">
        <f>COUNTIF($CG$12:$CG$71,$CG74)</f>
        <v>0</v>
      </c>
      <c r="CI74" t="s">
        <v>796</v>
      </c>
      <c r="CJ74" s="1">
        <f>COUNTIF($CI$12:$CI$71,$CI74)</f>
        <v>0</v>
      </c>
      <c r="CK74" t="s">
        <v>797</v>
      </c>
      <c r="CL74" s="1">
        <f>COUNTIF($CK$12:$CK$71,$CK74)</f>
        <v>0</v>
      </c>
      <c r="CS74" t="s">
        <v>798</v>
      </c>
      <c r="CT74" s="1">
        <f>COUNTIF($CS$12:$CS$71,$CS74)</f>
        <v>0</v>
      </c>
      <c r="DF74" t="s">
        <v>793</v>
      </c>
      <c r="DG74" s="1">
        <f t="shared" si="133"/>
        <v>0</v>
      </c>
      <c r="DH74" t="s">
        <v>794</v>
      </c>
      <c r="DI74" s="1">
        <f>COUNTIF($DH$12:$DH$71,$DH74)</f>
        <v>0</v>
      </c>
      <c r="DJ74" t="s">
        <v>795</v>
      </c>
      <c r="DK74" s="1">
        <f>COUNTIF($DJ$12:$DJ$71,$DJ74)</f>
        <v>0</v>
      </c>
      <c r="DM74" t="s">
        <v>796</v>
      </c>
      <c r="DN74" s="1">
        <f>COUNTIF($DM$12:$DM$71,$DM74)</f>
        <v>0</v>
      </c>
      <c r="DO74" t="s">
        <v>797</v>
      </c>
      <c r="DP74" s="1">
        <f>COUNTIF($DO$12:$DO$71,$DO74)</f>
        <v>0</v>
      </c>
      <c r="DW74" t="s">
        <v>798</v>
      </c>
      <c r="DX74" s="1">
        <f>COUNTIF($DW$12:$DW$71,$DW74)</f>
        <v>0</v>
      </c>
      <c r="DZ74" t="s">
        <v>678</v>
      </c>
      <c r="EA74" s="1">
        <f>COUNTIF($DZ$12:$DZ$71,$DZ74)</f>
        <v>0</v>
      </c>
    </row>
    <row r="75" spans="1:155" ht="18.75" hidden="1" customHeight="1" x14ac:dyDescent="0.2">
      <c r="D75">
        <f>COUNTA($D$12:$D$71)</f>
        <v>0</v>
      </c>
      <c r="AW75" s="1"/>
      <c r="BC75" s="1">
        <f>COUNTIF($BC$12:$BC$71,$BC74)</f>
        <v>0</v>
      </c>
      <c r="BD75" s="1">
        <f>COUNTIF($BD$12:$BD$71,$BD74)</f>
        <v>0</v>
      </c>
      <c r="BE75" s="1">
        <f>COUNTIF($BE$12:$BE$71,$BE74)</f>
        <v>0</v>
      </c>
      <c r="BF75" s="1">
        <f>COUNTIF($BF$12:$BF$71,$BF74)</f>
        <v>0</v>
      </c>
      <c r="BG75" s="1">
        <f>COUNTIF($BG$12:$BG$71,$BG74)</f>
        <v>0</v>
      </c>
      <c r="BH75" s="1">
        <f>COUNTIF($BH$12:$BH$71,$BH74)</f>
        <v>0</v>
      </c>
      <c r="BI75" s="1">
        <f>COUNTIF($BI$12:$BI$71,$BI74)</f>
        <v>0</v>
      </c>
      <c r="BJ75" s="1">
        <f>COUNTIF($BJ$12:$BJ$71,$BJ74)</f>
        <v>0</v>
      </c>
      <c r="BK75" s="1">
        <f>COUNTIF($BK$12:$BK$71,$BK74)</f>
        <v>0</v>
      </c>
      <c r="BL75" s="1">
        <f>COUNTIF($BL$12:$BL$71,$BL74)</f>
        <v>0</v>
      </c>
      <c r="BM75" s="1">
        <f>COUNTIF($BM$12:$BM$71,$BM74)</f>
        <v>0</v>
      </c>
      <c r="BN75" s="1">
        <f>COUNTIF($BN$12:$BN$71,$BN74)</f>
        <v>0</v>
      </c>
      <c r="BP75" s="1">
        <f>COUNTIF($BP$12:$BP$71,$BP74)</f>
        <v>0</v>
      </c>
      <c r="CC75" t="s">
        <v>804</v>
      </c>
      <c r="CD75" s="1">
        <f t="shared" si="130"/>
        <v>0</v>
      </c>
      <c r="CE75" t="s">
        <v>805</v>
      </c>
      <c r="CF75" s="1">
        <f>COUNTIF($CE$12:$CE$71,$CE75)</f>
        <v>0</v>
      </c>
      <c r="CG75" t="s">
        <v>806</v>
      </c>
      <c r="CH75" s="1">
        <f t="shared" ref="CH75:CH77" si="134">COUNTIF($CG$12:$CG$71,$CG75)</f>
        <v>0</v>
      </c>
      <c r="CI75" t="s">
        <v>807</v>
      </c>
      <c r="CJ75" s="1">
        <f>COUNTIF($CI$12:$CI$71,$CI75)</f>
        <v>0</v>
      </c>
      <c r="CK75" t="s">
        <v>808</v>
      </c>
      <c r="CL75" s="1">
        <f t="shared" ref="CL75:CL77" si="135">COUNTIF($CK$12:$CK$71,$CK75)</f>
        <v>0</v>
      </c>
      <c r="CS75" t="s">
        <v>809</v>
      </c>
      <c r="CT75" s="1">
        <f>COUNTIF($CS$12:$CS$71,$CS75)</f>
        <v>0</v>
      </c>
      <c r="DF75" t="s">
        <v>804</v>
      </c>
      <c r="DG75" s="1">
        <f t="shared" si="133"/>
        <v>0</v>
      </c>
      <c r="DH75" t="s">
        <v>805</v>
      </c>
      <c r="DI75" s="1">
        <f>COUNTIF($DH$12:$DH$71,$DH75)</f>
        <v>0</v>
      </c>
      <c r="DJ75" t="s">
        <v>806</v>
      </c>
      <c r="DK75" s="1">
        <f t="shared" ref="DK75:DK81" si="136">COUNTIF($DJ$12:$DJ$71,$DJ75)</f>
        <v>0</v>
      </c>
      <c r="DM75" t="s">
        <v>807</v>
      </c>
      <c r="DN75" s="1">
        <f>COUNTIF($DM$12:$DM$71,$DM75)</f>
        <v>0</v>
      </c>
      <c r="DO75" t="s">
        <v>808</v>
      </c>
      <c r="DP75" s="1">
        <f t="shared" ref="DP75:DP77" si="137">COUNTIF($DO$12:$DO$71,$DO75)</f>
        <v>0</v>
      </c>
      <c r="DW75" t="s">
        <v>809</v>
      </c>
      <c r="DX75" s="1">
        <f>COUNTIF($DW$12:$DW$71,$DW75)</f>
        <v>0</v>
      </c>
    </row>
    <row r="76" spans="1:155" ht="18.75" customHeight="1" x14ac:dyDescent="0.2">
      <c r="AV76" s="1"/>
      <c r="AW76" s="1"/>
      <c r="BC76" s="1" t="s">
        <v>413</v>
      </c>
      <c r="BD76" s="1" t="s">
        <v>180</v>
      </c>
      <c r="BE76" s="1" t="s">
        <v>187</v>
      </c>
      <c r="BF76" s="1" t="s">
        <v>188</v>
      </c>
      <c r="BG76" s="1" t="s">
        <v>207</v>
      </c>
      <c r="BH76" s="1" t="s">
        <v>424</v>
      </c>
      <c r="BI76" s="1" t="s">
        <v>413</v>
      </c>
      <c r="BJ76" s="1" t="s">
        <v>180</v>
      </c>
      <c r="BK76" s="1" t="s">
        <v>187</v>
      </c>
      <c r="BL76" s="1" t="s">
        <v>188</v>
      </c>
      <c r="BM76" s="1" t="s">
        <v>207</v>
      </c>
      <c r="BN76" s="1" t="s">
        <v>424</v>
      </c>
      <c r="BP76" t="s">
        <v>418</v>
      </c>
      <c r="CC76" t="s">
        <v>815</v>
      </c>
      <c r="CD76" s="1">
        <f t="shared" si="130"/>
        <v>0</v>
      </c>
      <c r="CE76" t="s">
        <v>816</v>
      </c>
      <c r="CF76" s="1">
        <f>COUNTIF($CE$12:$CE$71,$CE76)</f>
        <v>0</v>
      </c>
      <c r="CG76" t="s">
        <v>817</v>
      </c>
      <c r="CH76" s="1">
        <f t="shared" si="134"/>
        <v>0</v>
      </c>
      <c r="CI76" t="s">
        <v>818</v>
      </c>
      <c r="CJ76" s="1">
        <f>COUNTIF($CI$12:$CI$71,$CI76)</f>
        <v>0</v>
      </c>
      <c r="CK76" t="s">
        <v>819</v>
      </c>
      <c r="CL76" s="1">
        <f t="shared" si="135"/>
        <v>0</v>
      </c>
      <c r="CS76" t="s">
        <v>820</v>
      </c>
      <c r="CT76" s="1">
        <f>COUNTIF($CS$12:$CS$71,$CS76)</f>
        <v>0</v>
      </c>
      <c r="DF76" t="s">
        <v>815</v>
      </c>
      <c r="DG76" s="1">
        <f t="shared" si="133"/>
        <v>0</v>
      </c>
      <c r="DH76" t="s">
        <v>816</v>
      </c>
      <c r="DI76" s="1">
        <f t="shared" ref="DI76:DI81" si="138">COUNTIF($DH$12:$DH$71,$DH76)</f>
        <v>0</v>
      </c>
      <c r="DJ76" t="s">
        <v>817</v>
      </c>
      <c r="DK76" s="1">
        <f t="shared" si="136"/>
        <v>0</v>
      </c>
      <c r="DM76" t="s">
        <v>818</v>
      </c>
      <c r="DN76" s="1">
        <f>COUNTIF($DM$12:$DM$71,$DM76)</f>
        <v>0</v>
      </c>
      <c r="DO76" t="s">
        <v>819</v>
      </c>
      <c r="DP76" s="1">
        <f t="shared" si="137"/>
        <v>0</v>
      </c>
      <c r="DW76" t="s">
        <v>820</v>
      </c>
      <c r="DX76" s="1">
        <f>COUNTIF($DW$12:$DW$71,$DW76)</f>
        <v>0</v>
      </c>
      <c r="DZ76" t="s">
        <v>679</v>
      </c>
      <c r="EA76" s="1">
        <f>COUNTIF($DZ$12:$DZ$71,$DZ76)</f>
        <v>0</v>
      </c>
    </row>
    <row r="77" spans="1:155" ht="18.75" customHeight="1" x14ac:dyDescent="0.2">
      <c r="BC77" s="1">
        <f>COUNTIF($BC$12:$BC$71,$BC76)</f>
        <v>0</v>
      </c>
      <c r="BD77" s="1">
        <f>COUNTIF($BD$12:$BD$71,$BD76)</f>
        <v>0</v>
      </c>
      <c r="BE77" s="1">
        <f>COUNTIF($BE$12:$BE$71,$BE76)</f>
        <v>0</v>
      </c>
      <c r="BF77" s="1">
        <f>COUNTIF($BF$12:$BF$71,$BF76)</f>
        <v>0</v>
      </c>
      <c r="BG77" s="1">
        <f>COUNTIF($BG$12:$BG$71,$BG76)</f>
        <v>0</v>
      </c>
      <c r="BH77" s="1">
        <f>COUNTIF($BH$12:$BH$71,$BH76)</f>
        <v>0</v>
      </c>
      <c r="BI77" s="1">
        <f>COUNTIF($BI$12:$BI$71,$BI76)</f>
        <v>0</v>
      </c>
      <c r="BJ77" s="1">
        <f>COUNTIF($BJ$12:$BJ$71,$BJ76)</f>
        <v>0</v>
      </c>
      <c r="BK77" s="1">
        <f>COUNTIF($BK$12:$BK$71,$BK76)</f>
        <v>0</v>
      </c>
      <c r="BL77" s="1">
        <f>COUNTIF($BL$12:$BL$71,$BL76)</f>
        <v>0</v>
      </c>
      <c r="BM77" s="1">
        <f>COUNTIF($BM$12:$BM$71,$BM76)</f>
        <v>0</v>
      </c>
      <c r="BN77" s="1">
        <f>COUNTIF($BN$12:$BN$71,$BN76)</f>
        <v>0</v>
      </c>
      <c r="BP77" s="1">
        <f>COUNTIF($BP$12:$BP$71,$BP76)</f>
        <v>0</v>
      </c>
      <c r="CC77" t="s">
        <v>822</v>
      </c>
      <c r="CD77" s="1">
        <f t="shared" si="130"/>
        <v>0</v>
      </c>
      <c r="CE77" t="s">
        <v>823</v>
      </c>
      <c r="CF77" s="1">
        <f>COUNTIF($CE$12:$CE$71,$CE77)</f>
        <v>0</v>
      </c>
      <c r="CG77" t="s">
        <v>824</v>
      </c>
      <c r="CH77" s="1">
        <f t="shared" si="134"/>
        <v>0</v>
      </c>
      <c r="CI77" t="s">
        <v>825</v>
      </c>
      <c r="CJ77" s="1">
        <f>COUNTIF($CI$12:$CI$71,$CI77)</f>
        <v>0</v>
      </c>
      <c r="CK77" t="s">
        <v>826</v>
      </c>
      <c r="CL77" s="1">
        <f t="shared" si="135"/>
        <v>0</v>
      </c>
      <c r="CS77" t="s">
        <v>827</v>
      </c>
      <c r="CT77" s="1">
        <f>COUNTIF($CS$12:$CS$71,$CS77)</f>
        <v>0</v>
      </c>
      <c r="DF77" t="s">
        <v>822</v>
      </c>
      <c r="DG77" s="1">
        <f t="shared" si="133"/>
        <v>0</v>
      </c>
      <c r="DH77" t="s">
        <v>823</v>
      </c>
      <c r="DI77" s="1">
        <f t="shared" si="138"/>
        <v>0</v>
      </c>
      <c r="DJ77" t="s">
        <v>824</v>
      </c>
      <c r="DK77" s="1">
        <f t="shared" si="136"/>
        <v>0</v>
      </c>
      <c r="DM77" t="s">
        <v>825</v>
      </c>
      <c r="DN77" s="1">
        <f>COUNTIF($DM$12:$DM$71,$DM77)</f>
        <v>0</v>
      </c>
      <c r="DO77" t="s">
        <v>826</v>
      </c>
      <c r="DP77" s="1">
        <f t="shared" si="137"/>
        <v>0</v>
      </c>
      <c r="DW77" t="s">
        <v>827</v>
      </c>
      <c r="DX77" s="1">
        <f>COUNTIF($DW$12:$DW$71,$DW77)</f>
        <v>0</v>
      </c>
    </row>
    <row r="78" spans="1:155" ht="18.75" customHeight="1" x14ac:dyDescent="0.2">
      <c r="BC78" s="1" t="s">
        <v>414</v>
      </c>
      <c r="BD78" s="1" t="s">
        <v>181</v>
      </c>
      <c r="BE78" s="1" t="s">
        <v>189</v>
      </c>
      <c r="BF78" s="1" t="s">
        <v>190</v>
      </c>
      <c r="BG78" s="1" t="s">
        <v>208</v>
      </c>
      <c r="BH78" s="1" t="s">
        <v>425</v>
      </c>
      <c r="BI78" s="1" t="s">
        <v>414</v>
      </c>
      <c r="BJ78" s="1" t="s">
        <v>181</v>
      </c>
      <c r="BK78" s="1" t="s">
        <v>189</v>
      </c>
      <c r="BL78" s="1" t="s">
        <v>190</v>
      </c>
      <c r="BM78" s="1" t="s">
        <v>208</v>
      </c>
      <c r="BN78" s="1" t="s">
        <v>425</v>
      </c>
      <c r="BP78" t="s">
        <v>419</v>
      </c>
      <c r="CD78" s="1"/>
      <c r="CF78" s="1"/>
      <c r="CH78" s="1"/>
      <c r="CJ78" s="1"/>
      <c r="CL78" s="1"/>
      <c r="CT78" s="1"/>
      <c r="DF78" t="s">
        <v>786</v>
      </c>
      <c r="DG78" s="1">
        <f t="shared" si="133"/>
        <v>0</v>
      </c>
      <c r="DH78" t="s">
        <v>788</v>
      </c>
      <c r="DI78" s="1">
        <f t="shared" si="138"/>
        <v>0</v>
      </c>
      <c r="DJ78" t="s">
        <v>790</v>
      </c>
      <c r="DK78" s="1">
        <f t="shared" si="136"/>
        <v>0</v>
      </c>
    </row>
    <row r="79" spans="1:155" ht="18.75" customHeight="1" x14ac:dyDescent="0.2">
      <c r="BC79" s="1">
        <f>COUNTIF($BC$12:$BC$71,$BC78)</f>
        <v>0</v>
      </c>
      <c r="BD79" s="1">
        <f>COUNTIF($BD$12:$BD$71,$BD78)</f>
        <v>0</v>
      </c>
      <c r="BE79" s="1">
        <f>COUNTIF($BE$12:$BE$71,$BE78)</f>
        <v>0</v>
      </c>
      <c r="BF79" s="1">
        <f>COUNTIF($BF$12:$BF$71,$BF78)</f>
        <v>0</v>
      </c>
      <c r="BG79" s="1">
        <f>COUNTIF($BG$12:$BG$71,$BG78)</f>
        <v>0</v>
      </c>
      <c r="BH79" s="1">
        <f>COUNTIF($BH$12:$BH$71,$BH78)</f>
        <v>0</v>
      </c>
      <c r="BI79" s="1">
        <f>COUNTIF($BI$12:$BI$71,$BI78)</f>
        <v>0</v>
      </c>
      <c r="BJ79" s="1">
        <f>COUNTIF($BJ$12:$BJ$71,$BJ78)</f>
        <v>0</v>
      </c>
      <c r="BK79" s="1">
        <f>COUNTIF($BK$12:$BK$71,$BK78)</f>
        <v>0</v>
      </c>
      <c r="BL79" s="1">
        <f>COUNTIF($BL$12:$BL$71,$BL78)</f>
        <v>0</v>
      </c>
      <c r="BM79" s="1">
        <f>COUNTIF($BM$12:$BM$71,$BM78)</f>
        <v>0</v>
      </c>
      <c r="BN79" s="1">
        <f>COUNTIF($BN$12:$BN$71,$BN78)</f>
        <v>0</v>
      </c>
      <c r="BP79" s="1">
        <f>COUNTIF($BP$12:$BP$71,$BP78)</f>
        <v>0</v>
      </c>
      <c r="DF79" t="s">
        <v>800</v>
      </c>
      <c r="DG79" s="1">
        <f>COUNTIF($DF$12:$DF$71,$DF79)</f>
        <v>0</v>
      </c>
      <c r="DH79" t="s">
        <v>801</v>
      </c>
      <c r="DI79" s="1">
        <f t="shared" si="138"/>
        <v>0</v>
      </c>
      <c r="DJ79" t="s">
        <v>802</v>
      </c>
      <c r="DK79" s="1">
        <f t="shared" si="136"/>
        <v>0</v>
      </c>
    </row>
    <row r="80" spans="1:155" ht="18.75" customHeight="1" x14ac:dyDescent="0.2">
      <c r="BC80" s="1" t="s">
        <v>415</v>
      </c>
      <c r="BD80" s="1" t="s">
        <v>191</v>
      </c>
      <c r="BE80" s="1" t="s">
        <v>192</v>
      </c>
      <c r="BF80" s="1" t="s">
        <v>193</v>
      </c>
      <c r="BG80" s="1" t="s">
        <v>209</v>
      </c>
      <c r="BH80" s="1" t="s">
        <v>426</v>
      </c>
      <c r="BI80" s="1" t="s">
        <v>415</v>
      </c>
      <c r="BJ80" s="1" t="s">
        <v>191</v>
      </c>
      <c r="BK80" s="1" t="s">
        <v>192</v>
      </c>
      <c r="BL80" s="1" t="s">
        <v>193</v>
      </c>
      <c r="BM80" s="1" t="s">
        <v>209</v>
      </c>
      <c r="BN80" s="1" t="s">
        <v>426</v>
      </c>
      <c r="BP80" t="s">
        <v>420</v>
      </c>
      <c r="DF80" t="s">
        <v>811</v>
      </c>
      <c r="DG80" s="1">
        <f t="shared" si="133"/>
        <v>0</v>
      </c>
      <c r="DH80" t="s">
        <v>812</v>
      </c>
      <c r="DI80" s="1">
        <f t="shared" si="138"/>
        <v>0</v>
      </c>
      <c r="DJ80" t="s">
        <v>813</v>
      </c>
      <c r="DK80" s="1">
        <f t="shared" si="136"/>
        <v>0</v>
      </c>
    </row>
    <row r="81" spans="54:116" ht="18.75" customHeight="1" x14ac:dyDescent="0.2">
      <c r="BC81" s="1">
        <f>COUNTIF($BC$12:$BC$71,$BC80)</f>
        <v>0</v>
      </c>
      <c r="BD81" s="1">
        <f>COUNTIF($BD$12:$BD$71,$BD80)</f>
        <v>0</v>
      </c>
      <c r="BE81" s="1">
        <f>COUNTIF($BE$12:$BE$71,$BE80)</f>
        <v>0</v>
      </c>
      <c r="BF81" s="1">
        <f>COUNTIF($BF$12:$BF$71,$BF80)</f>
        <v>0</v>
      </c>
      <c r="BG81" s="1">
        <f>COUNTIF($BG$12:$BG$71,$BG80)</f>
        <v>0</v>
      </c>
      <c r="BH81" s="1">
        <f>COUNTIF($BH$12:$BH$71,$BH80)</f>
        <v>0</v>
      </c>
      <c r="BI81" s="1">
        <f>COUNTIF($BI$12:$BI$71,$BI80)</f>
        <v>0</v>
      </c>
      <c r="BJ81" s="1">
        <f>COUNTIF($BJ$12:$BJ$71,$BJ80)</f>
        <v>0</v>
      </c>
      <c r="BK81" s="1">
        <f>COUNTIF($BK$12:$BK$71,$BK80)</f>
        <v>0</v>
      </c>
      <c r="BL81" s="1">
        <f>COUNTIF($BL$12:$BL$71,$BL80)</f>
        <v>0</v>
      </c>
      <c r="BM81" s="1">
        <f>COUNTIF($BM$12:$BM$71,$BM80)</f>
        <v>0</v>
      </c>
      <c r="BN81" s="1">
        <f>COUNTIF($BN$12:$BN$71,$BN80)</f>
        <v>0</v>
      </c>
      <c r="BP81" s="1">
        <f>COUNTIF($BP$12:$BP$71,$BP80)</f>
        <v>0</v>
      </c>
      <c r="DF81" t="s">
        <v>829</v>
      </c>
      <c r="DG81" s="1">
        <f t="shared" si="133"/>
        <v>0</v>
      </c>
      <c r="DH81" t="s">
        <v>830</v>
      </c>
      <c r="DI81" s="1">
        <f t="shared" si="138"/>
        <v>0</v>
      </c>
      <c r="DJ81" t="s">
        <v>831</v>
      </c>
      <c r="DK81" s="1">
        <f t="shared" si="136"/>
        <v>0</v>
      </c>
    </row>
    <row r="82" spans="54:116" ht="18.75" customHeight="1" x14ac:dyDescent="0.2">
      <c r="BC82" s="1" t="s">
        <v>416</v>
      </c>
      <c r="BD82" s="1" t="s">
        <v>194</v>
      </c>
      <c r="BE82" s="1" t="s">
        <v>195</v>
      </c>
      <c r="BF82" s="1" t="s">
        <v>196</v>
      </c>
      <c r="BG82" s="1" t="s">
        <v>210</v>
      </c>
      <c r="BH82" s="1" t="s">
        <v>427</v>
      </c>
      <c r="BI82" s="1" t="s">
        <v>416</v>
      </c>
      <c r="BJ82" s="1" t="s">
        <v>194</v>
      </c>
      <c r="BK82" s="1" t="s">
        <v>195</v>
      </c>
      <c r="BL82" s="1" t="s">
        <v>196</v>
      </c>
      <c r="BM82" s="1" t="s">
        <v>210</v>
      </c>
      <c r="BN82" s="1" t="s">
        <v>427</v>
      </c>
      <c r="BP82" t="s">
        <v>340</v>
      </c>
    </row>
    <row r="83" spans="54:116" ht="18.75" customHeight="1" x14ac:dyDescent="0.2">
      <c r="BC83" s="1">
        <f>COUNTIF($BC$12:$BC$71,$BC82)</f>
        <v>0</v>
      </c>
      <c r="BD83" s="1">
        <f>COUNTIF($BD$12:$BD$71,$BD82)</f>
        <v>0</v>
      </c>
      <c r="BE83" s="1">
        <f>COUNTIF($BE$12:$BE$71,$BE82)</f>
        <v>0</v>
      </c>
      <c r="BF83" s="1">
        <f>COUNTIF($BF$12:$BF$71,$BF82)</f>
        <v>0</v>
      </c>
      <c r="BG83" s="1">
        <f>COUNTIF($BG$12:$BG$71,$BG82)</f>
        <v>0</v>
      </c>
      <c r="BH83" s="1">
        <f>COUNTIF($BH$12:$BH$71,$BH82)</f>
        <v>0</v>
      </c>
      <c r="BI83" s="1">
        <f>COUNTIF($BI$12:$BI$71,$BI82)</f>
        <v>0</v>
      </c>
      <c r="BJ83" s="1">
        <f>COUNTIF($BJ$12:$BJ$71,$BJ82)</f>
        <v>0</v>
      </c>
      <c r="BK83" s="1">
        <f>COUNTIF($BK$12:$BK$71,$BK82)</f>
        <v>0</v>
      </c>
      <c r="BL83" s="1">
        <f>COUNTIF($BL$12:$BL$71,$BL82)</f>
        <v>0</v>
      </c>
      <c r="BM83" s="1">
        <f>COUNTIF($BM$12:$BM$71,$BM82)</f>
        <v>0</v>
      </c>
      <c r="BN83" s="1">
        <f>COUNTIF($BN$12:$BN$71,$BN82)</f>
        <v>0</v>
      </c>
      <c r="BP83" s="1">
        <f>COUNTIF($BP$12:$BP$71,$BP82)</f>
        <v>0</v>
      </c>
      <c r="BQ83" s="1"/>
      <c r="BR83" s="1"/>
      <c r="BS83" s="1"/>
      <c r="BT83" s="1"/>
      <c r="BZ83" s="1"/>
      <c r="CB83" s="139"/>
      <c r="DE83" s="139"/>
      <c r="DL83" s="139"/>
    </row>
    <row r="84" spans="54:116" ht="18.75" customHeight="1" x14ac:dyDescent="0.2">
      <c r="BP84" t="s">
        <v>580</v>
      </c>
      <c r="CB84" s="139"/>
      <c r="DE84" s="139"/>
      <c r="DL84" s="139"/>
    </row>
    <row r="85" spans="54:116" ht="18.75" customHeight="1" x14ac:dyDescent="0.2">
      <c r="BB85" t="s">
        <v>845</v>
      </c>
      <c r="BC85" s="1">
        <f>SUM(BC73,BC75,BC77,BC79,BC81,BC83)</f>
        <v>0</v>
      </c>
      <c r="BD85" s="1">
        <f t="shared" ref="BD85:BF85" si="139">SUM(BD73,BD75,BD77,BD79,BD81,BD83)</f>
        <v>0</v>
      </c>
      <c r="BE85" s="1">
        <f t="shared" si="139"/>
        <v>0</v>
      </c>
      <c r="BF85" s="1">
        <f t="shared" si="139"/>
        <v>0</v>
      </c>
      <c r="BP85" s="1">
        <f>COUNTIF($BP$12:$BP$71,$BP84)</f>
        <v>0</v>
      </c>
      <c r="CB85" s="139"/>
      <c r="DE85" s="139"/>
      <c r="DL85" s="139"/>
    </row>
    <row r="86" spans="54:116" ht="18.75" customHeight="1" x14ac:dyDescent="0.2">
      <c r="BP86" t="s">
        <v>581</v>
      </c>
      <c r="BQ86" t="s">
        <v>582</v>
      </c>
      <c r="BR86" t="s">
        <v>583</v>
      </c>
      <c r="BS86" t="s">
        <v>584</v>
      </c>
      <c r="BT86" t="s">
        <v>585</v>
      </c>
      <c r="BZ86" t="s">
        <v>463</v>
      </c>
      <c r="CB86" s="139"/>
      <c r="DE86" s="139"/>
      <c r="DL86" s="139"/>
    </row>
    <row r="87" spans="54:116" ht="18.75" customHeight="1" x14ac:dyDescent="0.2">
      <c r="BP87" s="1">
        <f>COUNTIF($BP$12:$BP$71,$BP86)</f>
        <v>0</v>
      </c>
      <c r="BQ87" s="1">
        <f>COUNTIF($BQ$12:$BQ$71,$BQ86)</f>
        <v>0</v>
      </c>
      <c r="BR87" s="1">
        <f>COUNTIF($BR$12:$BR$71,$BR86)</f>
        <v>0</v>
      </c>
      <c r="BS87" s="1">
        <f>COUNTIF($BS$12:$BS$71,$BS86)</f>
        <v>0</v>
      </c>
      <c r="BT87" s="1">
        <f>COUNTIF($BT$12:$BT$71,$BT86)</f>
        <v>0</v>
      </c>
      <c r="BZ87" s="1">
        <f>COUNTIF($BZ$12:$BZ$71,$BZ86)</f>
        <v>0</v>
      </c>
      <c r="CB87" s="139"/>
      <c r="DE87" s="139"/>
      <c r="DL87" s="139"/>
    </row>
    <row r="88" spans="54:116" ht="18.75" customHeight="1" x14ac:dyDescent="0.2">
      <c r="BP88" t="s">
        <v>341</v>
      </c>
      <c r="BQ88" t="s">
        <v>353</v>
      </c>
      <c r="BR88" t="s">
        <v>365</v>
      </c>
      <c r="BS88" t="s">
        <v>385</v>
      </c>
      <c r="BT88" t="s">
        <v>397</v>
      </c>
      <c r="BZ88" t="s">
        <v>373</v>
      </c>
      <c r="CB88" s="139"/>
      <c r="DE88" s="139"/>
      <c r="DL88" s="139"/>
    </row>
    <row r="89" spans="54:116" ht="18.75" customHeight="1" x14ac:dyDescent="0.2">
      <c r="BP89" s="1">
        <f>COUNTIF($BP$12:$BP$71,$BP88)</f>
        <v>0</v>
      </c>
      <c r="BQ89" s="1">
        <f>COUNTIF($BQ$12:$BQ$71,$BQ88)</f>
        <v>0</v>
      </c>
      <c r="BR89" s="1">
        <f>COUNTIF($BR$12:$BR$71,$BR88)</f>
        <v>0</v>
      </c>
      <c r="BS89" s="1">
        <f>COUNTIF($BS$12:$BS$71,$BS88)</f>
        <v>0</v>
      </c>
      <c r="BT89" s="1">
        <f>COUNTIF($BT$12:$BT$71,$BT88)</f>
        <v>0</v>
      </c>
      <c r="BZ89" s="1">
        <f>COUNTIF($BZ$12:$BZ$71,$BZ88)</f>
        <v>0</v>
      </c>
      <c r="CB89" s="139"/>
      <c r="DE89" s="139"/>
      <c r="DL89" s="139"/>
    </row>
    <row r="90" spans="54:116" ht="18.75" customHeight="1" x14ac:dyDescent="0.2">
      <c r="BP90" t="s">
        <v>342</v>
      </c>
      <c r="BQ90" t="s">
        <v>356</v>
      </c>
      <c r="BR90" t="s">
        <v>367</v>
      </c>
      <c r="BS90" t="s">
        <v>388</v>
      </c>
      <c r="BT90" t="s">
        <v>400</v>
      </c>
      <c r="BZ90" t="s">
        <v>376</v>
      </c>
      <c r="CB90" s="139"/>
      <c r="DE90" s="139"/>
      <c r="DL90" s="139"/>
    </row>
    <row r="91" spans="54:116" ht="18.75" customHeight="1" x14ac:dyDescent="0.2">
      <c r="BP91" s="1">
        <f>COUNTIF($BP$12:$BP$71,$BP90)</f>
        <v>0</v>
      </c>
      <c r="BQ91" s="1">
        <f>COUNTIF($BQ$12:$BQ$71,$BQ90)</f>
        <v>0</v>
      </c>
      <c r="BR91" s="1">
        <f>COUNTIF($BR$12:$BR$71,$BR90)</f>
        <v>0</v>
      </c>
      <c r="BS91" s="1">
        <f>COUNTIF($BS$12:$BS$71,$BS90)</f>
        <v>0</v>
      </c>
      <c r="BT91" s="1">
        <f>COUNTIF($BT$12:$BT$71,$BT90)</f>
        <v>0</v>
      </c>
      <c r="BZ91" s="1">
        <f>COUNTIF($BZ$12:$BZ$71,$BZ90)</f>
        <v>0</v>
      </c>
      <c r="CB91" s="139"/>
      <c r="DE91" s="139"/>
      <c r="DL91" s="139"/>
    </row>
    <row r="92" spans="54:116" ht="18.75" customHeight="1" x14ac:dyDescent="0.2">
      <c r="BP92" t="s">
        <v>343</v>
      </c>
      <c r="BQ92" t="s">
        <v>359</v>
      </c>
      <c r="BR92" t="s">
        <v>369</v>
      </c>
      <c r="BS92" t="s">
        <v>391</v>
      </c>
      <c r="BT92" t="s">
        <v>403</v>
      </c>
      <c r="BZ92" t="s">
        <v>379</v>
      </c>
    </row>
    <row r="93" spans="54:116" ht="18.75" customHeight="1" x14ac:dyDescent="0.2">
      <c r="BP93" s="1">
        <f>COUNTIF($BP$12:$BP$71,$BP92)</f>
        <v>0</v>
      </c>
      <c r="BQ93" s="1">
        <f>COUNTIF($BQ$12:$BQ$71,$BQ92)</f>
        <v>0</v>
      </c>
      <c r="BR93" s="1">
        <f>COUNTIF($BR$12:$BR$71,$BR92)</f>
        <v>0</v>
      </c>
      <c r="BS93" s="1">
        <f>COUNTIF($BS$12:$BS$71,$BS92)</f>
        <v>0</v>
      </c>
      <c r="BT93" s="1">
        <f>COUNTIF($BT$12:$BT$71,$BT92)</f>
        <v>0</v>
      </c>
      <c r="BZ93" s="1">
        <f>COUNTIF($BZ$12:$BZ$71,$BZ92)</f>
        <v>0</v>
      </c>
    </row>
    <row r="94" spans="54:116" ht="18.75" customHeight="1" x14ac:dyDescent="0.2">
      <c r="BP94" t="s">
        <v>344</v>
      </c>
      <c r="BQ94" t="s">
        <v>362</v>
      </c>
      <c r="BR94" t="s">
        <v>371</v>
      </c>
      <c r="BS94" t="s">
        <v>394</v>
      </c>
      <c r="BT94" t="s">
        <v>406</v>
      </c>
      <c r="BZ94" t="s">
        <v>382</v>
      </c>
    </row>
    <row r="95" spans="54:116" ht="18.75" customHeight="1" x14ac:dyDescent="0.2">
      <c r="BP95" s="1">
        <f>COUNTIF($BP$12:$BP$71,$BP94)</f>
        <v>0</v>
      </c>
      <c r="BQ95" s="1">
        <f>COUNTIF($BQ$12:$BQ$71,$BQ94)</f>
        <v>0</v>
      </c>
      <c r="BR95" s="1">
        <f>COUNTIF($BR$12:$BR$71,$BR94)</f>
        <v>0</v>
      </c>
      <c r="BS95" s="1">
        <f>COUNTIF($BS$12:$BS$71,$BS94)</f>
        <v>0</v>
      </c>
      <c r="BT95" s="1">
        <f>COUNTIF($BT$12:$BT$71,$BT94)</f>
        <v>0</v>
      </c>
      <c r="BZ95" s="1">
        <f>COUNTIF($BZ$12:$BZ$71,$BZ94)</f>
        <v>0</v>
      </c>
    </row>
    <row r="96" spans="54:116" ht="18.75" customHeight="1" x14ac:dyDescent="0.2">
      <c r="BP96" t="s">
        <v>586</v>
      </c>
    </row>
    <row r="97" spans="68:78" ht="18.75" customHeight="1" x14ac:dyDescent="0.2">
      <c r="BP97" s="1">
        <f>COUNTIF($BP$12:$BP$71,$BP96)</f>
        <v>0</v>
      </c>
    </row>
    <row r="98" spans="68:78" ht="18.75" customHeight="1" x14ac:dyDescent="0.2">
      <c r="BP98" t="s">
        <v>587</v>
      </c>
      <c r="BQ98" t="s">
        <v>588</v>
      </c>
      <c r="BS98" t="s">
        <v>589</v>
      </c>
      <c r="BT98" t="s">
        <v>590</v>
      </c>
      <c r="BZ98" t="s">
        <v>464</v>
      </c>
    </row>
    <row r="99" spans="68:78" ht="18.75" customHeight="1" x14ac:dyDescent="0.2">
      <c r="BP99" s="1">
        <f>COUNTIF($BP$12:$BP$71,$BP98)</f>
        <v>0</v>
      </c>
      <c r="BQ99" s="1">
        <f>COUNTIF($BQ$12:$BQ$71,$BQ98)</f>
        <v>0</v>
      </c>
      <c r="BS99" s="1">
        <f>COUNTIF($BS$12:$BS$71,$BS98)</f>
        <v>0</v>
      </c>
      <c r="BT99" s="1">
        <f>COUNTIF($BT$12:$BT$71,$BT98)</f>
        <v>0</v>
      </c>
      <c r="BZ99" s="1">
        <f>COUNTIF($BZ$12:$BZ$71,$BZ98)</f>
        <v>0</v>
      </c>
    </row>
    <row r="100" spans="68:78" ht="18.75" customHeight="1" x14ac:dyDescent="0.2">
      <c r="BP100" t="s">
        <v>345</v>
      </c>
      <c r="BQ100" t="s">
        <v>354</v>
      </c>
      <c r="BS100" t="s">
        <v>386</v>
      </c>
      <c r="BT100" t="s">
        <v>398</v>
      </c>
      <c r="BZ100" t="s">
        <v>374</v>
      </c>
    </row>
    <row r="101" spans="68:78" ht="18.75" customHeight="1" x14ac:dyDescent="0.2">
      <c r="BP101" s="1">
        <f>COUNTIF($BP$12:$BP$71,$BP100)</f>
        <v>0</v>
      </c>
      <c r="BQ101" s="1">
        <f>COUNTIF($BQ$12:$BQ$71,$BQ100)</f>
        <v>0</v>
      </c>
      <c r="BS101" s="1">
        <f>COUNTIF($BS$12:$BS$71,$BS100)</f>
        <v>0</v>
      </c>
      <c r="BT101" s="1">
        <f>COUNTIF($BT$12:$BT$71,$BT100)</f>
        <v>0</v>
      </c>
      <c r="BZ101" s="1">
        <f>COUNTIF($BZ$12:$BZ$71,$BZ100)</f>
        <v>0</v>
      </c>
    </row>
    <row r="102" spans="68:78" ht="18.75" customHeight="1" x14ac:dyDescent="0.2">
      <c r="BP102" t="s">
        <v>346</v>
      </c>
      <c r="BQ102" t="s">
        <v>357</v>
      </c>
      <c r="BS102" t="s">
        <v>389</v>
      </c>
      <c r="BT102" t="s">
        <v>401</v>
      </c>
      <c r="BZ102" t="s">
        <v>377</v>
      </c>
    </row>
    <row r="103" spans="68:78" ht="18.75" customHeight="1" x14ac:dyDescent="0.2">
      <c r="BP103" s="1">
        <f>COUNTIF($BP$12:$BP$71,$BP102)</f>
        <v>0</v>
      </c>
      <c r="BQ103" s="1">
        <f>COUNTIF($BQ$12:$BQ$71,$BQ102)</f>
        <v>0</v>
      </c>
      <c r="BS103" s="1">
        <f>COUNTIF($BS$12:$BS$71,$BS102)</f>
        <v>0</v>
      </c>
      <c r="BT103" s="1">
        <f>COUNTIF($BT$12:$BT$71,$BT102)</f>
        <v>0</v>
      </c>
      <c r="BZ103" s="1">
        <f>COUNTIF($BZ$12:$BZ$71,$BZ102)</f>
        <v>0</v>
      </c>
    </row>
    <row r="104" spans="68:78" ht="18.75" customHeight="1" x14ac:dyDescent="0.2">
      <c r="BP104" t="s">
        <v>347</v>
      </c>
      <c r="BQ104" t="s">
        <v>360</v>
      </c>
      <c r="BS104" t="s">
        <v>392</v>
      </c>
      <c r="BT104" t="s">
        <v>404</v>
      </c>
      <c r="BZ104" t="s">
        <v>380</v>
      </c>
    </row>
    <row r="105" spans="68:78" ht="18.75" customHeight="1" x14ac:dyDescent="0.2">
      <c r="BP105" s="1">
        <f>COUNTIF($BP$12:$BP$71,$BP104)</f>
        <v>0</v>
      </c>
      <c r="BQ105" s="1">
        <f>COUNTIF($BQ$12:$BQ$71,$BQ104)</f>
        <v>0</v>
      </c>
      <c r="BS105" s="1">
        <f>COUNTIF($BS$12:$BS$71,$BS104)</f>
        <v>0</v>
      </c>
      <c r="BT105" s="1">
        <f>COUNTIF($BT$12:$BT$71,$BT104)</f>
        <v>0</v>
      </c>
      <c r="BZ105" s="1">
        <f>COUNTIF($BZ$12:$BZ$71,$BZ104)</f>
        <v>0</v>
      </c>
    </row>
    <row r="106" spans="68:78" ht="18.75" customHeight="1" x14ac:dyDescent="0.2">
      <c r="BP106" t="s">
        <v>348</v>
      </c>
      <c r="BQ106" t="s">
        <v>363</v>
      </c>
      <c r="BS106" t="s">
        <v>395</v>
      </c>
      <c r="BT106" t="s">
        <v>407</v>
      </c>
      <c r="BZ106" t="s">
        <v>383</v>
      </c>
    </row>
    <row r="107" spans="68:78" ht="18.75" customHeight="1" x14ac:dyDescent="0.2">
      <c r="BP107" s="1">
        <f>COUNTIF($BP$12:$BP$71,$BP106)</f>
        <v>0</v>
      </c>
      <c r="BQ107" s="1">
        <f>COUNTIF($BQ$12:$BQ$71,$BQ106)</f>
        <v>0</v>
      </c>
      <c r="BS107" s="1">
        <f>COUNTIF($BS$12:$BS$71,$BS106)</f>
        <v>0</v>
      </c>
      <c r="BT107" s="1">
        <f>COUNTIF($BT$12:$BT$71,$BT106)</f>
        <v>0</v>
      </c>
      <c r="BZ107" s="1">
        <f>COUNTIF($BZ$12:$BZ$71,$BZ106)</f>
        <v>0</v>
      </c>
    </row>
    <row r="108" spans="68:78" ht="18.75" customHeight="1" x14ac:dyDescent="0.2">
      <c r="BP108" t="s">
        <v>591</v>
      </c>
    </row>
    <row r="109" spans="68:78" ht="18.75" customHeight="1" x14ac:dyDescent="0.2">
      <c r="BP109" s="1">
        <f>COUNTIF($BP$12:$BP$71,$BP108)</f>
        <v>0</v>
      </c>
    </row>
    <row r="110" spans="68:78" ht="18.75" customHeight="1" x14ac:dyDescent="0.2">
      <c r="BP110" t="s">
        <v>592</v>
      </c>
      <c r="BQ110" t="s">
        <v>593</v>
      </c>
      <c r="BR110" t="s">
        <v>594</v>
      </c>
      <c r="BS110" t="s">
        <v>595</v>
      </c>
      <c r="BT110" t="s">
        <v>596</v>
      </c>
      <c r="BZ110" t="s">
        <v>465</v>
      </c>
    </row>
    <row r="111" spans="68:78" ht="18.75" customHeight="1" x14ac:dyDescent="0.2">
      <c r="BP111" s="1">
        <f>COUNTIF($BP$12:$BP$71,$BP110)</f>
        <v>0</v>
      </c>
      <c r="BQ111" s="1">
        <f>COUNTIF($BQ$12:$BQ$71,$BQ110)</f>
        <v>0</v>
      </c>
      <c r="BR111" s="1">
        <f>COUNTIF($BR$12:$BR$71,$BR110)</f>
        <v>0</v>
      </c>
      <c r="BS111" s="1">
        <f>COUNTIF($BS$12:$BS$71,$BS110)</f>
        <v>0</v>
      </c>
      <c r="BT111" s="1">
        <f>COUNTIF($BT$12:$BT$71,$BT110)</f>
        <v>0</v>
      </c>
      <c r="BZ111" s="1">
        <f>COUNTIF($BZ$12:$BZ$71,$BZ110)</f>
        <v>0</v>
      </c>
    </row>
    <row r="112" spans="68:78" ht="18.75" customHeight="1" x14ac:dyDescent="0.2">
      <c r="BP112" t="s">
        <v>349</v>
      </c>
      <c r="BQ112" t="s">
        <v>355</v>
      </c>
      <c r="BR112" t="s">
        <v>366</v>
      </c>
      <c r="BS112" t="s">
        <v>387</v>
      </c>
      <c r="BT112" t="s">
        <v>399</v>
      </c>
      <c r="BZ112" t="s">
        <v>375</v>
      </c>
    </row>
    <row r="113" spans="67:78" ht="18.75" customHeight="1" x14ac:dyDescent="0.2">
      <c r="BP113" s="1">
        <f>COUNTIF($BP$12:$BP$71,$BP112)</f>
        <v>0</v>
      </c>
      <c r="BQ113" s="1">
        <f>COUNTIF($BQ$12:$BQ$71,$BQ112)</f>
        <v>0</v>
      </c>
      <c r="BR113" s="1">
        <f>COUNTIF($BR$12:$BR$71,$BR112)</f>
        <v>0</v>
      </c>
      <c r="BS113" s="1">
        <f>COUNTIF($BS$12:$BS$71,$BS112)</f>
        <v>0</v>
      </c>
      <c r="BT113" s="1">
        <f>COUNTIF($BT$12:$BT$71,$BT112)</f>
        <v>0</v>
      </c>
      <c r="BZ113" s="1">
        <f>COUNTIF($BZ$12:$BZ$71,$BZ112)</f>
        <v>0</v>
      </c>
    </row>
    <row r="114" spans="67:78" ht="18.75" customHeight="1" x14ac:dyDescent="0.2">
      <c r="BP114" t="s">
        <v>350</v>
      </c>
      <c r="BQ114" t="s">
        <v>358</v>
      </c>
      <c r="BR114" t="s">
        <v>368</v>
      </c>
      <c r="BS114" t="s">
        <v>390</v>
      </c>
      <c r="BT114" t="s">
        <v>402</v>
      </c>
      <c r="BZ114" t="s">
        <v>378</v>
      </c>
    </row>
    <row r="115" spans="67:78" ht="18.75" customHeight="1" x14ac:dyDescent="0.2">
      <c r="BP115" s="1">
        <f>COUNTIF($BP$12:$BP$71,$BP114)</f>
        <v>0</v>
      </c>
      <c r="BQ115" s="1">
        <f>COUNTIF($BQ$12:$BQ$71,$BQ114)</f>
        <v>0</v>
      </c>
      <c r="BR115" s="1">
        <f>COUNTIF($BR$12:$BR$71,$BR114)</f>
        <v>0</v>
      </c>
      <c r="BS115" s="1">
        <f>COUNTIF($BS$12:$BS$71,$BS114)</f>
        <v>0</v>
      </c>
      <c r="BT115" s="1">
        <f>COUNTIF($BT$12:$BT$71,$BT114)</f>
        <v>0</v>
      </c>
      <c r="BZ115" s="1">
        <f>COUNTIF($BZ$12:$BZ$71,$BZ114)</f>
        <v>0</v>
      </c>
    </row>
    <row r="116" spans="67:78" ht="18.75" customHeight="1" x14ac:dyDescent="0.2">
      <c r="BP116" t="s">
        <v>351</v>
      </c>
      <c r="BQ116" t="s">
        <v>361</v>
      </c>
      <c r="BR116" t="s">
        <v>370</v>
      </c>
      <c r="BS116" t="s">
        <v>393</v>
      </c>
      <c r="BT116" t="s">
        <v>405</v>
      </c>
      <c r="BZ116" t="s">
        <v>381</v>
      </c>
    </row>
    <row r="117" spans="67:78" ht="18.75" customHeight="1" x14ac:dyDescent="0.2">
      <c r="BP117" s="1">
        <f>COUNTIF($BP$12:$BP$71,$BP116)</f>
        <v>0</v>
      </c>
      <c r="BQ117" s="1">
        <f>COUNTIF($BQ$12:$BQ$71,$BQ116)</f>
        <v>0</v>
      </c>
      <c r="BR117" s="1">
        <f>COUNTIF($BR$12:$BR$71,$BR116)</f>
        <v>0</v>
      </c>
      <c r="BS117" s="1">
        <f>COUNTIF($BS$12:$BS$71,$BS116)</f>
        <v>0</v>
      </c>
      <c r="BT117" s="1">
        <f>COUNTIF($BT$12:$BT$71,$BT116)</f>
        <v>0</v>
      </c>
      <c r="BZ117" s="1">
        <f>COUNTIF($BZ$12:$BZ$71,$BZ116)</f>
        <v>0</v>
      </c>
    </row>
    <row r="118" spans="67:78" ht="18.75" customHeight="1" x14ac:dyDescent="0.2">
      <c r="BP118" t="s">
        <v>352</v>
      </c>
      <c r="BQ118" t="s">
        <v>364</v>
      </c>
      <c r="BR118" t="s">
        <v>372</v>
      </c>
      <c r="BS118" t="s">
        <v>396</v>
      </c>
      <c r="BT118" t="s">
        <v>408</v>
      </c>
      <c r="BZ118" t="s">
        <v>384</v>
      </c>
    </row>
    <row r="119" spans="67:78" ht="18.75" customHeight="1" x14ac:dyDescent="0.2">
      <c r="BP119" s="1">
        <f>COUNTIF($BP$12:$BP$71,$BP118)</f>
        <v>0</v>
      </c>
      <c r="BQ119" s="1">
        <f>COUNTIF($BQ$12:$BQ$71,$BQ118)</f>
        <v>0</v>
      </c>
      <c r="BR119" s="1">
        <f>COUNTIF($BR$12:$BR$71,$BR118)</f>
        <v>0</v>
      </c>
      <c r="BS119" s="1">
        <f>COUNTIF($BS$12:$BS$71,$BS118)</f>
        <v>0</v>
      </c>
      <c r="BT119" s="1">
        <f>COUNTIF($BT$12:$BT$71,$BT118)</f>
        <v>0</v>
      </c>
      <c r="BZ119" s="1">
        <f>COUNTIF($BZ$12:$BZ$71,$BZ118)</f>
        <v>0</v>
      </c>
    </row>
    <row r="121" spans="67:78" ht="18.75" customHeight="1" x14ac:dyDescent="0.2">
      <c r="BO121" s="1" t="s">
        <v>846</v>
      </c>
      <c r="BP121">
        <f>SUM(BP73,BP75,BP77,BP79,BP81,BP83)</f>
        <v>0</v>
      </c>
    </row>
    <row r="122" spans="67:78" ht="18.75" customHeight="1" x14ac:dyDescent="0.2">
      <c r="BO122" s="1" t="s">
        <v>662</v>
      </c>
      <c r="BP122">
        <f>SUM(BP85,BP87,BP89,BP91,BP93,BP95)</f>
        <v>0</v>
      </c>
      <c r="BQ122">
        <f>SUM(BQ87,BQ89,BQ91,BQ93,BQ95)</f>
        <v>0</v>
      </c>
      <c r="BR122">
        <f t="shared" ref="BR122:BT122" si="140">SUM(BR87,BR89,BR91,BR93,BR95)</f>
        <v>0</v>
      </c>
      <c r="BS122">
        <f t="shared" si="140"/>
        <v>0</v>
      </c>
      <c r="BT122">
        <f t="shared" si="140"/>
        <v>0</v>
      </c>
      <c r="BZ122">
        <f>SUM(BZ87,BZ89,BZ91,BZ93,BZ95)</f>
        <v>0</v>
      </c>
    </row>
    <row r="123" spans="67:78" ht="18.75" customHeight="1" x14ac:dyDescent="0.2">
      <c r="BO123" s="1" t="s">
        <v>666</v>
      </c>
      <c r="BP123">
        <f>SUM(BP97,BP99,BP101,BP103,BP105,BP107)</f>
        <v>0</v>
      </c>
      <c r="BQ123">
        <f>SUM(BQ99,BQ101,BQ103,BQ105,BQ107)</f>
        <v>0</v>
      </c>
      <c r="BS123">
        <f t="shared" ref="BS123:BT123" si="141">SUM(BS99,BS101,BS103,BS105,BS107)</f>
        <v>0</v>
      </c>
      <c r="BT123">
        <f t="shared" si="141"/>
        <v>0</v>
      </c>
      <c r="BZ123">
        <f>SUM(BZ99,BZ101,BZ103,BZ105,BZ107)</f>
        <v>0</v>
      </c>
    </row>
    <row r="124" spans="67:78" ht="18.75" customHeight="1" x14ac:dyDescent="0.2">
      <c r="BO124" s="1" t="s">
        <v>847</v>
      </c>
      <c r="BP124">
        <f>SUM(BP109,BP111,BP113,BP115,BP117,BP119)</f>
        <v>0</v>
      </c>
      <c r="BQ124">
        <f>SUM(BQ111,BQ113,BQ115,BQ117,BQ119)</f>
        <v>0</v>
      </c>
      <c r="BR124">
        <f t="shared" ref="BR124:BT124" si="142">SUM(BR111,BR113,BR115,BR117,BR119)</f>
        <v>0</v>
      </c>
      <c r="BS124">
        <f t="shared" si="142"/>
        <v>0</v>
      </c>
      <c r="BT124">
        <f t="shared" si="142"/>
        <v>0</v>
      </c>
      <c r="BZ124">
        <f>SUM(BZ111,BZ113,BZ115,BZ117,BZ119)</f>
        <v>0</v>
      </c>
    </row>
  </sheetData>
  <sheetProtection algorithmName="SHA-512" hashValue="nOFej/++vEwTbkOn8yI6dM+MndEe2xrmRpakFbNbevkNrD0s9/3KrOx3saNrS/B13i968grBuffRhQ1OA3z4wA==" saltValue="ZN58Pq6lpBtik16kAgHJGg==" spinCount="100000" sheet="1" selectLockedCells="1"/>
  <mergeCells count="319">
    <mergeCell ref="J1:M1"/>
    <mergeCell ref="R1:X1"/>
    <mergeCell ref="AB1:AH1"/>
    <mergeCell ref="B2:D2"/>
    <mergeCell ref="E2:G2"/>
    <mergeCell ref="H2:H4"/>
    <mergeCell ref="I2:I4"/>
    <mergeCell ref="J2:M2"/>
    <mergeCell ref="R2:X3"/>
    <mergeCell ref="Y2:AO3"/>
    <mergeCell ref="Q3:Q4"/>
    <mergeCell ref="AP3:AQ3"/>
    <mergeCell ref="W4:X4"/>
    <mergeCell ref="AJ4:AK4"/>
    <mergeCell ref="AN4:AO4"/>
    <mergeCell ref="AS4:AT4"/>
    <mergeCell ref="AR2:AT3"/>
    <mergeCell ref="B3:B4"/>
    <mergeCell ref="C3:C4"/>
    <mergeCell ref="D3:D4"/>
    <mergeCell ref="E3:E4"/>
    <mergeCell ref="F3:F4"/>
    <mergeCell ref="G3:G4"/>
    <mergeCell ref="J3:M3"/>
    <mergeCell ref="N3:O3"/>
    <mergeCell ref="P3:P4"/>
    <mergeCell ref="BC9:BH9"/>
    <mergeCell ref="BI9:BN9"/>
    <mergeCell ref="BP9:BZ9"/>
    <mergeCell ref="B10:G11"/>
    <mergeCell ref="H10:H11"/>
    <mergeCell ref="I10:I11"/>
    <mergeCell ref="J10:J11"/>
    <mergeCell ref="K10:K11"/>
    <mergeCell ref="L10:L11"/>
    <mergeCell ref="M10:M11"/>
    <mergeCell ref="V10:V11"/>
    <mergeCell ref="W10:X11"/>
    <mergeCell ref="Y10:Y11"/>
    <mergeCell ref="Z10:AA11"/>
    <mergeCell ref="AB10:AC11"/>
    <mergeCell ref="AD10:AE11"/>
    <mergeCell ref="P10:P11"/>
    <mergeCell ref="Q10:Q11"/>
    <mergeCell ref="R10:R11"/>
    <mergeCell ref="S10:S11"/>
    <mergeCell ref="T10:T11"/>
    <mergeCell ref="U10:U11"/>
    <mergeCell ref="BP10:BP11"/>
    <mergeCell ref="BQ10:BQ11"/>
    <mergeCell ref="BR10:BR11"/>
    <mergeCell ref="BS10:BS11"/>
    <mergeCell ref="AF10:AG11"/>
    <mergeCell ref="AH10:AI11"/>
    <mergeCell ref="AJ10:AL11"/>
    <mergeCell ref="AN10:AO10"/>
    <mergeCell ref="AQ10:AQ11"/>
    <mergeCell ref="AR10:AR11"/>
    <mergeCell ref="DO10:DP10"/>
    <mergeCell ref="DQ10:DW10"/>
    <mergeCell ref="EN10:EQ10"/>
    <mergeCell ref="AN11:AO11"/>
    <mergeCell ref="BW12:BW13"/>
    <mergeCell ref="BZ12:BZ13"/>
    <mergeCell ref="CP12:CP13"/>
    <mergeCell ref="CS12:CS13"/>
    <mergeCell ref="CZ12:CZ13"/>
    <mergeCell ref="DC12:DC13"/>
    <mergeCell ref="CK10:CL10"/>
    <mergeCell ref="CM10:CS10"/>
    <mergeCell ref="CU10:CV10"/>
    <mergeCell ref="CW10:DC10"/>
    <mergeCell ref="DD10:DD11"/>
    <mergeCell ref="DM10:DN10"/>
    <mergeCell ref="BT10:BT11"/>
    <mergeCell ref="BU10:BZ10"/>
    <mergeCell ref="CC10:CD10"/>
    <mergeCell ref="CE10:CF10"/>
    <mergeCell ref="CG10:CH10"/>
    <mergeCell ref="CI10:CJ10"/>
    <mergeCell ref="AS10:AT11"/>
    <mergeCell ref="AW10:AX10"/>
    <mergeCell ref="DT12:DT13"/>
    <mergeCell ref="DW12:DW13"/>
    <mergeCell ref="BW14:BW15"/>
    <mergeCell ref="BZ14:BZ15"/>
    <mergeCell ref="CP14:CP15"/>
    <mergeCell ref="CS14:CS15"/>
    <mergeCell ref="CZ14:CZ15"/>
    <mergeCell ref="DC14:DC15"/>
    <mergeCell ref="DT14:DT15"/>
    <mergeCell ref="DW14:DW15"/>
    <mergeCell ref="DT16:DT17"/>
    <mergeCell ref="DW16:DW17"/>
    <mergeCell ref="BW18:BW19"/>
    <mergeCell ref="BZ18:BZ19"/>
    <mergeCell ref="CP18:CP19"/>
    <mergeCell ref="CS18:CS19"/>
    <mergeCell ref="CZ18:CZ19"/>
    <mergeCell ref="DC18:DC19"/>
    <mergeCell ref="DT18:DT19"/>
    <mergeCell ref="DW18:DW19"/>
    <mergeCell ref="BW16:BW17"/>
    <mergeCell ref="BZ16:BZ17"/>
    <mergeCell ref="CP16:CP17"/>
    <mergeCell ref="CS16:CS17"/>
    <mergeCell ref="CZ16:CZ17"/>
    <mergeCell ref="DC16:DC17"/>
    <mergeCell ref="DT20:DT21"/>
    <mergeCell ref="DW20:DW21"/>
    <mergeCell ref="BW22:BW23"/>
    <mergeCell ref="BZ22:BZ23"/>
    <mergeCell ref="CP22:CP23"/>
    <mergeCell ref="CS22:CS23"/>
    <mergeCell ref="CZ22:CZ23"/>
    <mergeCell ref="DC22:DC23"/>
    <mergeCell ref="DT22:DT23"/>
    <mergeCell ref="DW22:DW23"/>
    <mergeCell ref="BW20:BW21"/>
    <mergeCell ref="BZ20:BZ21"/>
    <mergeCell ref="CP20:CP21"/>
    <mergeCell ref="CS20:CS21"/>
    <mergeCell ref="CZ20:CZ21"/>
    <mergeCell ref="DC20:DC21"/>
    <mergeCell ref="DT24:DT25"/>
    <mergeCell ref="DW24:DW25"/>
    <mergeCell ref="BW26:BW27"/>
    <mergeCell ref="BZ26:BZ27"/>
    <mergeCell ref="CP26:CP27"/>
    <mergeCell ref="CS26:CS27"/>
    <mergeCell ref="CZ26:CZ27"/>
    <mergeCell ref="DC26:DC27"/>
    <mergeCell ref="DT26:DT27"/>
    <mergeCell ref="DW26:DW27"/>
    <mergeCell ref="BW24:BW25"/>
    <mergeCell ref="BZ24:BZ25"/>
    <mergeCell ref="CP24:CP25"/>
    <mergeCell ref="CS24:CS25"/>
    <mergeCell ref="CZ24:CZ25"/>
    <mergeCell ref="DC24:DC25"/>
    <mergeCell ref="DT28:DT29"/>
    <mergeCell ref="DW28:DW29"/>
    <mergeCell ref="BW30:BW31"/>
    <mergeCell ref="BZ30:BZ31"/>
    <mergeCell ref="CP30:CP31"/>
    <mergeCell ref="CS30:CS31"/>
    <mergeCell ref="CZ30:CZ31"/>
    <mergeCell ref="DC30:DC31"/>
    <mergeCell ref="DT30:DT31"/>
    <mergeCell ref="DW30:DW31"/>
    <mergeCell ref="BW28:BW29"/>
    <mergeCell ref="BZ28:BZ29"/>
    <mergeCell ref="CP28:CP29"/>
    <mergeCell ref="CS28:CS29"/>
    <mergeCell ref="CZ28:CZ29"/>
    <mergeCell ref="DC28:DC29"/>
    <mergeCell ref="DT32:DT33"/>
    <mergeCell ref="DW32:DW33"/>
    <mergeCell ref="BW34:BW35"/>
    <mergeCell ref="BZ34:BZ35"/>
    <mergeCell ref="CP34:CP35"/>
    <mergeCell ref="CS34:CS35"/>
    <mergeCell ref="CZ34:CZ35"/>
    <mergeCell ref="DC34:DC35"/>
    <mergeCell ref="DT34:DT35"/>
    <mergeCell ref="DW34:DW35"/>
    <mergeCell ref="BW32:BW33"/>
    <mergeCell ref="BZ32:BZ33"/>
    <mergeCell ref="CP32:CP33"/>
    <mergeCell ref="CS32:CS33"/>
    <mergeCell ref="CZ32:CZ33"/>
    <mergeCell ref="DC32:DC33"/>
    <mergeCell ref="DT36:DT37"/>
    <mergeCell ref="DW36:DW37"/>
    <mergeCell ref="BW38:BW39"/>
    <mergeCell ref="BZ38:BZ39"/>
    <mergeCell ref="CP38:CP39"/>
    <mergeCell ref="CS38:CS39"/>
    <mergeCell ref="CZ38:CZ39"/>
    <mergeCell ref="DC38:DC39"/>
    <mergeCell ref="DT38:DT39"/>
    <mergeCell ref="DW38:DW39"/>
    <mergeCell ref="BW36:BW37"/>
    <mergeCell ref="BZ36:BZ37"/>
    <mergeCell ref="CP36:CP37"/>
    <mergeCell ref="CS36:CS37"/>
    <mergeCell ref="CZ36:CZ37"/>
    <mergeCell ref="DC36:DC37"/>
    <mergeCell ref="DT40:DT41"/>
    <mergeCell ref="DW40:DW41"/>
    <mergeCell ref="BW42:BW43"/>
    <mergeCell ref="BZ42:BZ43"/>
    <mergeCell ref="CP42:CP43"/>
    <mergeCell ref="CS42:CS43"/>
    <mergeCell ref="CZ42:CZ43"/>
    <mergeCell ref="DC42:DC43"/>
    <mergeCell ref="DT42:DT43"/>
    <mergeCell ref="DW42:DW43"/>
    <mergeCell ref="BW40:BW41"/>
    <mergeCell ref="BZ40:BZ41"/>
    <mergeCell ref="CP40:CP41"/>
    <mergeCell ref="CS40:CS41"/>
    <mergeCell ref="CZ40:CZ41"/>
    <mergeCell ref="DC40:DC41"/>
    <mergeCell ref="DT44:DT45"/>
    <mergeCell ref="DW44:DW45"/>
    <mergeCell ref="BW46:BW47"/>
    <mergeCell ref="BZ46:BZ47"/>
    <mergeCell ref="CP46:CP47"/>
    <mergeCell ref="CS46:CS47"/>
    <mergeCell ref="CZ46:CZ47"/>
    <mergeCell ref="DC46:DC47"/>
    <mergeCell ref="DT46:DT47"/>
    <mergeCell ref="DW46:DW47"/>
    <mergeCell ref="BW44:BW45"/>
    <mergeCell ref="BZ44:BZ45"/>
    <mergeCell ref="CP44:CP45"/>
    <mergeCell ref="CS44:CS45"/>
    <mergeCell ref="CZ44:CZ45"/>
    <mergeCell ref="DC44:DC45"/>
    <mergeCell ref="DT48:DT49"/>
    <mergeCell ref="DW48:DW49"/>
    <mergeCell ref="BW50:BW51"/>
    <mergeCell ref="BZ50:BZ51"/>
    <mergeCell ref="CP50:CP51"/>
    <mergeCell ref="CS50:CS51"/>
    <mergeCell ref="CZ50:CZ51"/>
    <mergeCell ref="DC50:DC51"/>
    <mergeCell ref="DT50:DT51"/>
    <mergeCell ref="DW50:DW51"/>
    <mergeCell ref="BW48:BW49"/>
    <mergeCell ref="BZ48:BZ49"/>
    <mergeCell ref="CP48:CP49"/>
    <mergeCell ref="CS48:CS49"/>
    <mergeCell ref="CZ48:CZ49"/>
    <mergeCell ref="DC48:DC49"/>
    <mergeCell ref="DT52:DT53"/>
    <mergeCell ref="DW52:DW53"/>
    <mergeCell ref="BW54:BW55"/>
    <mergeCell ref="BZ54:BZ55"/>
    <mergeCell ref="CP54:CP55"/>
    <mergeCell ref="CS54:CS55"/>
    <mergeCell ref="CZ54:CZ55"/>
    <mergeCell ref="DC54:DC55"/>
    <mergeCell ref="DT54:DT55"/>
    <mergeCell ref="DW54:DW55"/>
    <mergeCell ref="BW52:BW53"/>
    <mergeCell ref="BZ52:BZ53"/>
    <mergeCell ref="CP52:CP53"/>
    <mergeCell ref="CS52:CS53"/>
    <mergeCell ref="CZ52:CZ53"/>
    <mergeCell ref="DC52:DC53"/>
    <mergeCell ref="DT56:DT57"/>
    <mergeCell ref="DW56:DW57"/>
    <mergeCell ref="BW58:BW59"/>
    <mergeCell ref="BZ58:BZ59"/>
    <mergeCell ref="CP58:CP59"/>
    <mergeCell ref="CS58:CS59"/>
    <mergeCell ref="CZ58:CZ59"/>
    <mergeCell ref="DC58:DC59"/>
    <mergeCell ref="DT58:DT59"/>
    <mergeCell ref="DW58:DW59"/>
    <mergeCell ref="BW56:BW57"/>
    <mergeCell ref="BZ56:BZ57"/>
    <mergeCell ref="CP56:CP57"/>
    <mergeCell ref="CS56:CS57"/>
    <mergeCell ref="CZ56:CZ57"/>
    <mergeCell ref="DC56:DC57"/>
    <mergeCell ref="DT60:DT61"/>
    <mergeCell ref="DW60:DW61"/>
    <mergeCell ref="BW62:BW63"/>
    <mergeCell ref="BZ62:BZ63"/>
    <mergeCell ref="CP62:CP63"/>
    <mergeCell ref="CS62:CS63"/>
    <mergeCell ref="CZ62:CZ63"/>
    <mergeCell ref="DC62:DC63"/>
    <mergeCell ref="DT62:DT63"/>
    <mergeCell ref="DW62:DW63"/>
    <mergeCell ref="BW60:BW61"/>
    <mergeCell ref="BZ60:BZ61"/>
    <mergeCell ref="CP60:CP61"/>
    <mergeCell ref="CS60:CS61"/>
    <mergeCell ref="CZ60:CZ61"/>
    <mergeCell ref="DC60:DC61"/>
    <mergeCell ref="DT64:DT65"/>
    <mergeCell ref="DW64:DW65"/>
    <mergeCell ref="BW66:BW67"/>
    <mergeCell ref="BZ66:BZ67"/>
    <mergeCell ref="CP66:CP67"/>
    <mergeCell ref="CS66:CS67"/>
    <mergeCell ref="CZ66:CZ67"/>
    <mergeCell ref="DC66:DC67"/>
    <mergeCell ref="DT66:DT67"/>
    <mergeCell ref="DW66:DW67"/>
    <mergeCell ref="BW64:BW65"/>
    <mergeCell ref="BZ64:BZ65"/>
    <mergeCell ref="CP64:CP65"/>
    <mergeCell ref="CS64:CS65"/>
    <mergeCell ref="CZ64:CZ65"/>
    <mergeCell ref="DC64:DC65"/>
    <mergeCell ref="EE73:EH73"/>
    <mergeCell ref="EI73:EL73"/>
    <mergeCell ref="EM73:EN73"/>
    <mergeCell ref="DT68:DT69"/>
    <mergeCell ref="DW68:DW69"/>
    <mergeCell ref="BW70:BW71"/>
    <mergeCell ref="BZ70:BZ71"/>
    <mergeCell ref="CP70:CP71"/>
    <mergeCell ref="CS70:CS71"/>
    <mergeCell ref="CZ70:CZ71"/>
    <mergeCell ref="DC70:DC71"/>
    <mergeCell ref="DT70:DT71"/>
    <mergeCell ref="DW70:DW71"/>
    <mergeCell ref="BW68:BW69"/>
    <mergeCell ref="BZ68:BZ69"/>
    <mergeCell ref="CP68:CP69"/>
    <mergeCell ref="CS68:CS69"/>
    <mergeCell ref="CZ68:CZ69"/>
    <mergeCell ref="DC68:DC69"/>
  </mergeCells>
  <phoneticPr fontId="52"/>
  <conditionalFormatting sqref="D12:D71">
    <cfRule type="cellIs" dxfId="46" priority="7" operator="equal">
      <formula>"重複"</formula>
    </cfRule>
  </conditionalFormatting>
  <conditionalFormatting sqref="J12:X71">
    <cfRule type="expression" dxfId="44" priority="2">
      <formula>$BA12="○"</formula>
    </cfRule>
  </conditionalFormatting>
  <conditionalFormatting sqref="P12:P71">
    <cfRule type="expression" dxfId="42" priority="6">
      <formula>$BB12&lt;7</formula>
    </cfRule>
  </conditionalFormatting>
  <conditionalFormatting sqref="Q12:Q71">
    <cfRule type="expression" dxfId="40" priority="24">
      <formula>$BA12="○"</formula>
    </cfRule>
  </conditionalFormatting>
  <conditionalFormatting sqref="Y12:Y71">
    <cfRule type="expression" dxfId="37" priority="18">
      <formula>$BB12&lt;7</formula>
    </cfRule>
  </conditionalFormatting>
  <conditionalFormatting sqref="Z12:AL71">
    <cfRule type="expression" dxfId="34" priority="9">
      <formula>$D12="重複"</formula>
    </cfRule>
  </conditionalFormatting>
  <conditionalFormatting sqref="Z12:AT71">
    <cfRule type="expression" dxfId="33" priority="19">
      <formula>AND($CB12&gt;=1,$CB12&lt;=6)</formula>
    </cfRule>
  </conditionalFormatting>
  <dataValidations count="13">
    <dataValidation type="list" imeMode="halfAlpha" allowBlank="1" showInputMessage="1" showErrorMessage="1" sqref="AR12:AR71" xr:uid="{D38B9702-84A6-4000-81AD-BDCDE2AAF412}">
      <formula1>IF($I12&lt;16,$AV$23,$AV$24)</formula1>
    </dataValidation>
    <dataValidation type="list" imeMode="halfAlpha" allowBlank="1" showInputMessage="1" showErrorMessage="1" sqref="AS12:AS71" xr:uid="{C18B2549-FF4D-44A8-94F8-64FD98FA6EFD}">
      <formula1>$AV$23:$AV$24</formula1>
    </dataValidation>
    <dataValidation type="list" allowBlank="1" showInputMessage="1" showErrorMessage="1" sqref="Y12:Y71 P12:Q71" xr:uid="{7F22EB7C-7023-471F-8922-27170A7C3C4E}">
      <formula1>"○"</formula1>
    </dataValidation>
    <dataValidation type="list" allowBlank="1" showInputMessage="1" showErrorMessage="1" sqref="AM12:AN71" xr:uid="{54C5B72A-AC9E-40BC-A25F-DC476FEDD1A3}">
      <formula1>"オープン"</formula1>
    </dataValidation>
    <dataValidation type="list" allowBlank="1" showInputMessage="1" showErrorMessage="1" sqref="J12:O71" xr:uid="{A325A50E-B33B-4070-AE30-BA96FD72E6B4}">
      <formula1>$AV$12:$AV$13</formula1>
    </dataValidation>
    <dataValidation type="list" allowBlank="1" showInputMessage="1" showErrorMessage="1" sqref="T12:T71" xr:uid="{7B9EC422-90E9-443D-A541-3064AFFC4F5C}">
      <formula1>$AV$18:$AV$19</formula1>
    </dataValidation>
    <dataValidation type="list" allowBlank="1" showInputMessage="1" showErrorMessage="1" sqref="S12:S71 U12:W71" xr:uid="{9C373335-5413-4239-A758-334BFD73BD23}">
      <formula1>$AV$15:$AV$17</formula1>
    </dataValidation>
    <dataValidation type="list" allowBlank="1" showInputMessage="1" showErrorMessage="1" sqref="R12:R71" xr:uid="{15B1CE34-0288-48DE-91C6-E31478CB06CC}">
      <formula1>$AV$14:$AV$17</formula1>
    </dataValidation>
    <dataValidation imeMode="hiragana" allowBlank="1" showInputMessage="1" showErrorMessage="1" sqref="D12:E71 AP12:AQ71" xr:uid="{56280E9D-526F-44C5-8043-71574E02201D}"/>
    <dataValidation imeMode="halfAlpha" allowBlank="1" showInputMessage="1" showErrorMessage="1" sqref="X12:X71 AT12:AT71 AK12:AK71 AO12:AO71 G12:G71" xr:uid="{080DA276-28A9-425E-9A55-6A8110BC8D23}"/>
    <dataValidation imeMode="off" allowBlank="1" showInputMessage="1" showErrorMessage="1" sqref="AJ72:AJ65460 AF72:AF65460 AH72:AH65460 AO72:AT65460" xr:uid="{22196A20-EBEA-4F0D-AF29-B173D6315DE1}"/>
    <dataValidation imeMode="on" allowBlank="1" showInputMessage="1" showErrorMessage="1" sqref="B1:C2" xr:uid="{58F64126-9F01-48EA-9DA3-8F24074E4EAB}"/>
    <dataValidation type="list" allowBlank="1" showInputMessage="1" showErrorMessage="1" sqref="F5:F9 F12:F71" xr:uid="{CE0EC27F-DF3D-434E-94D5-B55702ED572C}">
      <formula1>"男子"</formula1>
    </dataValidation>
  </dataValidations>
  <pageMargins left="0.23622047244094491" right="0.19685039370078741" top="0.43307086614173229" bottom="0.11811023622047245" header="0.31496062992125984" footer="0.11811023622047245"/>
  <pageSetup paperSize="9" scale="70" pageOrder="overThenDown" orientation="landscape" r:id="rId1"/>
  <rowBreaks count="1" manualBreakCount="1">
    <brk id="41" min="8" max="44" man="1"/>
  </rowBreaks>
  <colBreaks count="1" manualBreakCount="1">
    <brk id="25" min="11" max="70" man="1"/>
  </col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5546D738-535E-450A-886C-ABD1D7D146B6}">
            <xm:f>団体情報・入力の仕方!$C$3&lt;&gt;"大田区大会"</xm:f>
            <x14:dxf>
              <fill>
                <patternFill>
                  <bgColor theme="0" tint="-0.499984740745262"/>
                </patternFill>
              </fill>
            </x14:dxf>
          </x14:cfRule>
          <xm:sqref>B1:I1048576</xm:sqref>
        </x14:conditionalFormatting>
        <x14:conditionalFormatting xmlns:xm="http://schemas.microsoft.com/office/excel/2006/main">
          <x14:cfRule type="expression" priority="3" id="{A72DEA37-C538-477A-9874-9339CDAE0509}">
            <xm:f>(団体情報・入力の仕方!$C$3&lt;&gt;"大田区大会")</xm:f>
            <x14:dxf>
              <fill>
                <patternFill>
                  <bgColor theme="0" tint="-0.499984740745262"/>
                </patternFill>
              </fill>
            </x14:dxf>
          </x14:cfRule>
          <xm:sqref>J1:M1048576</xm:sqref>
        </x14:conditionalFormatting>
        <x14:conditionalFormatting xmlns:xm="http://schemas.microsoft.com/office/excel/2006/main">
          <x14:cfRule type="expression" priority="5" id="{B49B540E-8C34-4ABA-9665-C34E27F9D028}">
            <xm:f>OR(団体情報・入力の仕方!$C$3="品川区大会",団体情報・入力の仕方!$C$3="小平市大会")</xm:f>
            <x14:dxf>
              <fill>
                <patternFill>
                  <bgColor theme="0" tint="-0.499984740745262"/>
                </patternFill>
              </fill>
            </x14:dxf>
          </x14:cfRule>
          <xm:sqref>P1:P1048576</xm:sqref>
        </x14:conditionalFormatting>
        <x14:conditionalFormatting xmlns:xm="http://schemas.microsoft.com/office/excel/2006/main">
          <x14:cfRule type="expression" priority="4" id="{FB4160C6-28E2-4CB4-B279-941FA3B18501}">
            <xm:f>OR(団体情報・入力の仕方!$C$3="品川区大会",団体情報・入力の仕方!$C$3="小平市大会",団体情報・入力の仕方!$C$3="世田谷区大会")</xm:f>
            <x14:dxf>
              <fill>
                <patternFill>
                  <bgColor theme="0" tint="-0.499984740745262"/>
                </patternFill>
              </fill>
            </x14:dxf>
          </x14:cfRule>
          <xm:sqref>Q1:Q1048576</xm:sqref>
        </x14:conditionalFormatting>
        <x14:conditionalFormatting xmlns:xm="http://schemas.microsoft.com/office/excel/2006/main">
          <x14:cfRule type="expression" priority="12" id="{7EC43897-3F1B-4D9D-9D0D-DFF8955683E9}">
            <xm:f>団体情報・入力の仕方!$C$3&lt;&gt;"大田区大会"</xm:f>
            <x14:dxf>
              <fill>
                <patternFill>
                  <bgColor theme="0" tint="-0.499984740745262"/>
                </patternFill>
              </fill>
            </x14:dxf>
          </x14:cfRule>
          <xm:sqref>R1:X1048576</xm:sqref>
        </x14:conditionalFormatting>
        <x14:conditionalFormatting xmlns:xm="http://schemas.microsoft.com/office/excel/2006/main">
          <x14:cfRule type="expression" priority="16" id="{26A72E76-D0DB-492E-A658-54DDD5E4EDFA}">
            <xm:f>OR(団体情報・入力の仕方!$C$3="品川区大会",団体情報・入力の仕方!$C$3="小平市大会")</xm:f>
            <x14:dxf>
              <fill>
                <patternFill>
                  <bgColor theme="0" tint="-0.499984740745262"/>
                </patternFill>
              </fill>
            </x14:dxf>
          </x14:cfRule>
          <xm:sqref>S4:X71</xm:sqref>
        </x14:conditionalFormatting>
        <x14:conditionalFormatting xmlns:xm="http://schemas.microsoft.com/office/excel/2006/main">
          <x14:cfRule type="expression" priority="14" id="{CEFD13D6-DBBC-4ADF-AE25-47FA1DF2B307}">
            <xm:f>OR(団体情報・入力の仕方!$C$3="目黒区大会",団体情報・入力の仕方!$C$3="小平市大会",団体情報・入力の仕方!$C$3="港区大会",団体情報・入力の仕方!$C$3="品川区大会")</xm:f>
            <x14:dxf>
              <fill>
                <patternFill>
                  <bgColor theme="0" tint="-0.499984740745262"/>
                </patternFill>
              </fill>
            </x14:dxf>
          </x14:cfRule>
          <xm:sqref>Y2:AO3</xm:sqref>
        </x14:conditionalFormatting>
        <x14:conditionalFormatting xmlns:xm="http://schemas.microsoft.com/office/excel/2006/main">
          <x14:cfRule type="expression" priority="15" id="{D5A32153-D924-439F-BFE0-3176F118D56B}">
            <xm:f>OR(団体情報・入力の仕方!$C$3="小平市大会",団体情報・入力の仕方!$C$3="品川区大会")</xm:f>
            <x14:dxf>
              <fill>
                <patternFill>
                  <bgColor theme="0" tint="-0.499984740745262"/>
                </patternFill>
              </fill>
            </x14:dxf>
          </x14:cfRule>
          <xm:sqref>Z1:AL1048576</xm:sqref>
        </x14:conditionalFormatting>
        <x14:conditionalFormatting xmlns:xm="http://schemas.microsoft.com/office/excel/2006/main">
          <x14:cfRule type="expression" priority="13" id="{57B7B004-8D27-414F-B54D-F4D9BB6C6D31}">
            <xm:f>団体情報・入力の仕方!$C$3&lt;&gt;"港区大会"</xm:f>
            <x14:dxf>
              <fill>
                <patternFill>
                  <bgColor theme="0" tint="-0.499984740745262"/>
                </patternFill>
              </fill>
            </x14:dxf>
          </x14:cfRule>
          <xm:sqref>AR1:AT1048576</xm:sqref>
        </x14:conditionalFormatting>
        <x14:conditionalFormatting xmlns:xm="http://schemas.microsoft.com/office/excel/2006/main">
          <x14:cfRule type="expression" priority="11" id="{28FF0223-7FB7-44C2-ADAD-3BCE92FA82F0}">
            <xm:f>AND(団体情報・入力の仕方!$C$3="港区大会",COUNTA($D12)=1)</xm:f>
            <x14:dxf>
              <fill>
                <patternFill patternType="none">
                  <bgColor auto="1"/>
                </patternFill>
              </fill>
            </x14:dxf>
          </x14:cfRule>
          <xm:sqref>AR12:AT71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D5A6882-7151-463F-A55D-DC17DAA44DCC}">
          <x14:formula1>
            <xm:f>INDIRECT(Sheet1!$A$11)</xm:f>
          </x14:formula1>
          <xm:sqref>Z12:Z71 AB12:AB71 AD12:AD71 AF12:AF71 AH12:AH71 AJ12:AJ71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rgb="FF00B0F0"/>
  </sheetPr>
  <dimension ref="A1:AF191"/>
  <sheetViews>
    <sheetView topLeftCell="A141" zoomScale="80" zoomScaleNormal="80" workbookViewId="0"/>
  </sheetViews>
  <sheetFormatPr defaultColWidth="9" defaultRowHeight="13.2" x14ac:dyDescent="0.2"/>
  <cols>
    <col min="1" max="1" width="13.44140625" style="317" customWidth="1"/>
    <col min="2" max="2" width="6.21875" style="317" customWidth="1"/>
    <col min="3" max="4" width="6.6640625" style="317" customWidth="1"/>
    <col min="5" max="19" width="6.21875" style="317" customWidth="1"/>
    <col min="20" max="27" width="6.21875" style="2" customWidth="1"/>
    <col min="28" max="28" width="2.77734375" style="2" customWidth="1"/>
    <col min="29" max="30" width="6.6640625" style="2" customWidth="1"/>
    <col min="31" max="31" width="10.33203125" style="2" bestFit="1" customWidth="1"/>
    <col min="32" max="16384" width="9" style="2"/>
  </cols>
  <sheetData>
    <row r="1" spans="1:29" ht="30" customHeight="1" thickBot="1" x14ac:dyDescent="0.25">
      <c r="I1" s="1039" t="s">
        <v>25</v>
      </c>
      <c r="J1" s="1040"/>
      <c r="K1" s="1040"/>
      <c r="L1" s="1040"/>
      <c r="M1" s="1040"/>
      <c r="N1" s="1040"/>
      <c r="O1" s="1040"/>
      <c r="P1" s="1040"/>
      <c r="Q1" s="1040"/>
      <c r="R1" s="1041"/>
      <c r="W1" s="1042" t="s">
        <v>307</v>
      </c>
      <c r="X1" s="1043"/>
      <c r="Y1" s="1018">
        <f>団体情報・入力の仕方!$G$4</f>
        <v>0</v>
      </c>
      <c r="Z1" s="1019"/>
      <c r="AA1" s="1020"/>
    </row>
    <row r="3" spans="1:29" ht="25.5" customHeight="1" thickBot="1" x14ac:dyDescent="0.25">
      <c r="A3" s="506" t="str">
        <f>"２０２５年度東京都バトン協会バトントワーリングコンテスト"&amp;団体情報・入力の仕方!$C$3</f>
        <v>２０２５年度東京都バトン協会バトントワーリングコンテスト</v>
      </c>
      <c r="B3" s="452"/>
      <c r="C3" s="452"/>
      <c r="D3" s="452"/>
      <c r="E3" s="452"/>
      <c r="F3" s="452"/>
      <c r="G3" s="452"/>
      <c r="H3" s="452"/>
      <c r="I3" s="452"/>
      <c r="J3" s="452"/>
      <c r="N3" s="461" t="e">
        <f>"申込期間 "&amp;VLOOKUP(団体情報・入力の仕方!C3,Sheet1!A4:D9,3,FALSE)&amp;Sheet1!E4&amp;VLOOKUP(団体情報・入力の仕方!C3,Sheet1!A4:D9,4,FALSE)</f>
        <v>#N/A</v>
      </c>
      <c r="O3" s="461"/>
      <c r="W3" s="1035" t="s">
        <v>26</v>
      </c>
      <c r="X3" s="1035"/>
      <c r="Y3" s="1035">
        <f>団体情報・入力の仕方!$C$4</f>
        <v>0</v>
      </c>
      <c r="Z3" s="1035"/>
      <c r="AA3" s="1035"/>
    </row>
    <row r="4" spans="1:29" ht="27" customHeight="1" thickBot="1" x14ac:dyDescent="0.25">
      <c r="B4" s="11"/>
      <c r="C4" s="1005" t="s">
        <v>27</v>
      </c>
      <c r="D4" s="1005"/>
      <c r="E4" s="996">
        <f>団体情報・入力の仕方!$C$5</f>
        <v>0</v>
      </c>
      <c r="F4" s="996"/>
      <c r="G4" s="996"/>
      <c r="H4" s="996"/>
      <c r="I4" s="996"/>
      <c r="J4" s="996"/>
      <c r="K4" s="996"/>
      <c r="L4" s="996"/>
      <c r="M4" s="996"/>
      <c r="O4" s="1037" t="s">
        <v>314</v>
      </c>
      <c r="P4" s="1005"/>
      <c r="Q4" s="1035">
        <f>団体情報・入力の仕方!$C$8</f>
        <v>0</v>
      </c>
      <c r="R4" s="1035"/>
      <c r="S4" s="1035"/>
      <c r="T4" s="1035"/>
      <c r="V4" s="1037" t="s">
        <v>315</v>
      </c>
      <c r="W4" s="1037"/>
      <c r="X4" s="1037"/>
      <c r="Y4" s="1038">
        <f>団体情報・入力の仕方!$J$8</f>
        <v>0</v>
      </c>
      <c r="Z4" s="1038"/>
      <c r="AA4" s="1038"/>
    </row>
    <row r="5" spans="1:29" customFormat="1" ht="20.100000000000001" customHeight="1" thickBot="1" x14ac:dyDescent="0.25">
      <c r="B5" s="11"/>
    </row>
    <row r="6" spans="1:29" customFormat="1" ht="20.100000000000001" customHeight="1" thickBot="1" x14ac:dyDescent="0.25">
      <c r="A6" s="11"/>
      <c r="B6" s="11"/>
      <c r="E6" s="1"/>
      <c r="F6" s="1000" t="s">
        <v>488</v>
      </c>
      <c r="G6" s="903"/>
      <c r="H6" s="904"/>
      <c r="I6" s="902" t="s">
        <v>1</v>
      </c>
      <c r="J6" s="903"/>
      <c r="K6" s="903"/>
      <c r="L6" s="903"/>
      <c r="M6" s="903"/>
      <c r="N6" s="904"/>
      <c r="O6" s="902" t="s">
        <v>2</v>
      </c>
      <c r="P6" s="903"/>
      <c r="Q6" s="904"/>
      <c r="R6" s="902" t="s">
        <v>3</v>
      </c>
      <c r="S6" s="903"/>
      <c r="T6" s="904"/>
      <c r="U6" s="902" t="s">
        <v>486</v>
      </c>
      <c r="V6" s="903"/>
      <c r="W6" s="994"/>
      <c r="X6" s="1029" t="s">
        <v>29</v>
      </c>
    </row>
    <row r="7" spans="1:29" customFormat="1" ht="20.100000000000001" customHeight="1" x14ac:dyDescent="0.2">
      <c r="E7" s="13" t="s">
        <v>47</v>
      </c>
      <c r="F7" s="1001" t="s">
        <v>37</v>
      </c>
      <c r="G7" s="1002"/>
      <c r="H7" s="1003"/>
      <c r="I7" s="12" t="s">
        <v>4</v>
      </c>
      <c r="J7" s="12" t="s">
        <v>5</v>
      </c>
      <c r="K7" s="12" t="s">
        <v>6</v>
      </c>
      <c r="L7" s="12" t="s">
        <v>7</v>
      </c>
      <c r="M7" s="12" t="s">
        <v>8</v>
      </c>
      <c r="N7" s="12" t="s">
        <v>9</v>
      </c>
      <c r="O7" s="12" t="s">
        <v>10</v>
      </c>
      <c r="P7" s="12" t="s">
        <v>11</v>
      </c>
      <c r="Q7" s="12" t="s">
        <v>12</v>
      </c>
      <c r="R7" s="12" t="s">
        <v>13</v>
      </c>
      <c r="S7" s="12" t="s">
        <v>14</v>
      </c>
      <c r="T7" s="12" t="s">
        <v>15</v>
      </c>
      <c r="U7" s="1001" t="s">
        <v>485</v>
      </c>
      <c r="V7" s="1002"/>
      <c r="W7" s="1004"/>
      <c r="X7" s="1036"/>
    </row>
    <row r="8" spans="1:29" customFormat="1" ht="19.5" customHeight="1" thickBot="1" x14ac:dyDescent="0.25">
      <c r="E8" s="181" t="s">
        <v>48</v>
      </c>
      <c r="F8" s="948" t="s">
        <v>489</v>
      </c>
      <c r="G8" s="948"/>
      <c r="H8" s="948"/>
      <c r="I8" s="948" t="s">
        <v>21</v>
      </c>
      <c r="J8" s="948"/>
      <c r="K8" s="948"/>
      <c r="L8" s="948" t="s">
        <v>22</v>
      </c>
      <c r="M8" s="948"/>
      <c r="N8" s="948"/>
      <c r="O8" s="948" t="s">
        <v>23</v>
      </c>
      <c r="P8" s="948"/>
      <c r="Q8" s="948"/>
      <c r="R8" s="948" t="s">
        <v>24</v>
      </c>
      <c r="S8" s="948"/>
      <c r="T8" s="948"/>
      <c r="U8" s="950" t="s">
        <v>487</v>
      </c>
      <c r="V8" s="951"/>
      <c r="W8" s="995"/>
      <c r="X8" s="1030"/>
      <c r="Y8" s="2"/>
    </row>
    <row r="9" spans="1:29" customFormat="1" ht="26.25" customHeight="1" thickTop="1" thickBot="1" x14ac:dyDescent="0.25">
      <c r="A9" s="976" t="s">
        <v>490</v>
      </c>
      <c r="B9" s="1071"/>
      <c r="C9" s="997" t="s">
        <v>38</v>
      </c>
      <c r="D9" s="839"/>
      <c r="E9" s="21" t="s">
        <v>39</v>
      </c>
      <c r="F9" s="1006">
        <f>入力シート!$BF$73</f>
        <v>0</v>
      </c>
      <c r="G9" s="1007"/>
      <c r="H9" s="1008"/>
      <c r="I9" s="998">
        <f>入力シート!$BF$75</f>
        <v>0</v>
      </c>
      <c r="J9" s="998"/>
      <c r="K9" s="998"/>
      <c r="L9" s="998">
        <f>入力シート!$BF$77</f>
        <v>0</v>
      </c>
      <c r="M9" s="998"/>
      <c r="N9" s="998"/>
      <c r="O9" s="998">
        <f>入力シート!$BF$79</f>
        <v>0</v>
      </c>
      <c r="P9" s="998"/>
      <c r="Q9" s="998"/>
      <c r="R9" s="998">
        <f>入力シート!$BF$81</f>
        <v>0</v>
      </c>
      <c r="S9" s="998"/>
      <c r="T9" s="998"/>
      <c r="U9" s="1006">
        <f>入力シート!$BF$83</f>
        <v>0</v>
      </c>
      <c r="V9" s="1007"/>
      <c r="W9" s="1007"/>
      <c r="X9" s="184">
        <f t="shared" ref="X9:X14" si="0">SUM(F9:W9)</f>
        <v>0</v>
      </c>
    </row>
    <row r="10" spans="1:29" customFormat="1" ht="26.25" customHeight="1" thickTop="1" x14ac:dyDescent="0.2">
      <c r="A10" s="1072"/>
      <c r="B10" s="1073"/>
      <c r="C10" s="840"/>
      <c r="D10" s="841"/>
      <c r="E10" s="14" t="s">
        <v>41</v>
      </c>
      <c r="F10" s="846">
        <f>入力シート!$BG$73</f>
        <v>0</v>
      </c>
      <c r="G10" s="847"/>
      <c r="H10" s="874"/>
      <c r="I10" s="846">
        <f>入力シート!$BG$75</f>
        <v>0</v>
      </c>
      <c r="J10" s="847"/>
      <c r="K10" s="874"/>
      <c r="L10" s="846">
        <f>入力シート!$BG$77</f>
        <v>0</v>
      </c>
      <c r="M10" s="847"/>
      <c r="N10" s="874"/>
      <c r="O10" s="846">
        <f>入力シート!$BG$79</f>
        <v>0</v>
      </c>
      <c r="P10" s="847"/>
      <c r="Q10" s="874"/>
      <c r="R10" s="846">
        <f>入力シート!$BG$81</f>
        <v>0</v>
      </c>
      <c r="S10" s="847"/>
      <c r="T10" s="874"/>
      <c r="U10" s="871">
        <f>入力シート!$BG$83</f>
        <v>0</v>
      </c>
      <c r="V10" s="872"/>
      <c r="W10" s="872"/>
      <c r="X10" s="185">
        <f t="shared" si="0"/>
        <v>0</v>
      </c>
      <c r="Z10" s="863" t="s">
        <v>58</v>
      </c>
      <c r="AA10" s="864"/>
    </row>
    <row r="11" spans="1:29" customFormat="1" ht="26.25" customHeight="1" x14ac:dyDescent="0.2">
      <c r="A11" s="1072"/>
      <c r="B11" s="1073"/>
      <c r="C11" s="840"/>
      <c r="D11" s="841"/>
      <c r="E11" s="14" t="s">
        <v>43</v>
      </c>
      <c r="F11" s="846">
        <f>入力シート!$BH$73</f>
        <v>0</v>
      </c>
      <c r="G11" s="847"/>
      <c r="H11" s="874"/>
      <c r="I11" s="846">
        <f>入力シート!$BH$75</f>
        <v>0</v>
      </c>
      <c r="J11" s="847"/>
      <c r="K11" s="874"/>
      <c r="L11" s="846">
        <f>入力シート!$BH$77</f>
        <v>0</v>
      </c>
      <c r="M11" s="847"/>
      <c r="N11" s="874"/>
      <c r="O11" s="846">
        <f>入力シート!$BH$79</f>
        <v>0</v>
      </c>
      <c r="P11" s="847"/>
      <c r="Q11" s="874"/>
      <c r="R11" s="846">
        <f>入力シート!$BH$81</f>
        <v>0</v>
      </c>
      <c r="S11" s="847"/>
      <c r="T11" s="874"/>
      <c r="U11" s="846">
        <f>入力シート!$BH$83</f>
        <v>0</v>
      </c>
      <c r="V11" s="847"/>
      <c r="W11" s="847"/>
      <c r="X11" s="185">
        <f t="shared" si="0"/>
        <v>0</v>
      </c>
      <c r="Z11" s="865">
        <f>SUM(X9:X12,F31:H34)</f>
        <v>0</v>
      </c>
      <c r="AA11" s="866"/>
    </row>
    <row r="12" spans="1:29" customFormat="1" ht="24" customHeight="1" thickBot="1" x14ac:dyDescent="0.25">
      <c r="A12" s="1074"/>
      <c r="B12" s="1075"/>
      <c r="C12" s="849"/>
      <c r="D12" s="850"/>
      <c r="E12" s="58" t="s">
        <v>45</v>
      </c>
      <c r="F12" s="851">
        <f>入力シート!$BI$73</f>
        <v>0</v>
      </c>
      <c r="G12" s="852"/>
      <c r="H12" s="999"/>
      <c r="I12" s="851">
        <f>入力シート!$BI$75</f>
        <v>0</v>
      </c>
      <c r="J12" s="852"/>
      <c r="K12" s="999"/>
      <c r="L12" s="851">
        <f>入力シート!$BI$77</f>
        <v>0</v>
      </c>
      <c r="M12" s="852"/>
      <c r="N12" s="999"/>
      <c r="O12" s="851">
        <f>入力シート!$BI$79</f>
        <v>0</v>
      </c>
      <c r="P12" s="852"/>
      <c r="Q12" s="999"/>
      <c r="R12" s="851">
        <f>入力シート!$BI$81</f>
        <v>0</v>
      </c>
      <c r="S12" s="852"/>
      <c r="T12" s="999"/>
      <c r="U12" s="851">
        <f>入力シート!$BI$83</f>
        <v>0</v>
      </c>
      <c r="V12" s="852"/>
      <c r="W12" s="999"/>
      <c r="X12" s="186">
        <f t="shared" si="0"/>
        <v>0</v>
      </c>
      <c r="Z12" s="867"/>
      <c r="AA12" s="868"/>
    </row>
    <row r="13" spans="1:29" customFormat="1" ht="0.75" customHeight="1" x14ac:dyDescent="0.2">
      <c r="A13" s="459"/>
      <c r="B13" s="460"/>
      <c r="C13" s="840" t="s">
        <v>50</v>
      </c>
      <c r="D13" s="841"/>
      <c r="E13" s="21" t="s">
        <v>41</v>
      </c>
      <c r="F13" s="871">
        <f>入力シート!$BJ$73</f>
        <v>0</v>
      </c>
      <c r="G13" s="872"/>
      <c r="H13" s="873"/>
      <c r="I13" s="871">
        <f>入力シート!$BJ$75</f>
        <v>0</v>
      </c>
      <c r="J13" s="872"/>
      <c r="K13" s="873"/>
      <c r="L13" s="871">
        <f>入力シート!$BJ$77</f>
        <v>0</v>
      </c>
      <c r="M13" s="872"/>
      <c r="N13" s="873"/>
      <c r="O13" s="871">
        <f>入力シート!$BJ$79</f>
        <v>0</v>
      </c>
      <c r="P13" s="872"/>
      <c r="Q13" s="873"/>
      <c r="R13" s="871">
        <f>入力シート!$BJ$81</f>
        <v>0</v>
      </c>
      <c r="S13" s="872"/>
      <c r="T13" s="873"/>
      <c r="U13" s="871">
        <f>入力シート!$BJ$83</f>
        <v>0</v>
      </c>
      <c r="V13" s="872"/>
      <c r="W13" s="873"/>
      <c r="X13" s="184">
        <f t="shared" si="0"/>
        <v>0</v>
      </c>
      <c r="Z13" s="2"/>
      <c r="AA13" s="2"/>
    </row>
    <row r="14" spans="1:29" customFormat="1" ht="26.25" hidden="1" customHeight="1" thickBot="1" x14ac:dyDescent="0.25">
      <c r="A14" s="455"/>
      <c r="B14" s="456"/>
      <c r="C14" s="849"/>
      <c r="D14" s="850"/>
      <c r="E14" s="58" t="s">
        <v>43</v>
      </c>
      <c r="F14" s="851">
        <f>入力シート!$BK$73</f>
        <v>0</v>
      </c>
      <c r="G14" s="852"/>
      <c r="H14" s="999"/>
      <c r="I14" s="851">
        <f>入力シート!$BK$75</f>
        <v>0</v>
      </c>
      <c r="J14" s="852"/>
      <c r="K14" s="999"/>
      <c r="L14" s="851">
        <f>入力シート!$BK$77</f>
        <v>0</v>
      </c>
      <c r="M14" s="852"/>
      <c r="N14" s="999"/>
      <c r="O14" s="851">
        <f>入力シート!$BK$79</f>
        <v>0</v>
      </c>
      <c r="P14" s="852"/>
      <c r="Q14" s="999"/>
      <c r="R14" s="851">
        <f>入力シート!$BK$81</f>
        <v>0</v>
      </c>
      <c r="S14" s="852"/>
      <c r="T14" s="999"/>
      <c r="U14" s="851">
        <f>入力シート!$BK$83</f>
        <v>0</v>
      </c>
      <c r="V14" s="852"/>
      <c r="W14" s="999"/>
      <c r="X14" s="186">
        <f t="shared" si="0"/>
        <v>0</v>
      </c>
      <c r="Z14" s="2"/>
      <c r="AA14" s="2"/>
    </row>
    <row r="15" spans="1:29" customFormat="1" ht="16.5" hidden="1" customHeight="1" thickBot="1" x14ac:dyDescent="0.25">
      <c r="E15" s="1"/>
    </row>
    <row r="16" spans="1:29" customFormat="1" ht="36.75" hidden="1" customHeight="1" thickBot="1" x14ac:dyDescent="0.25">
      <c r="A16" s="11"/>
      <c r="E16" s="1"/>
      <c r="W16" s="1042" t="s">
        <v>307</v>
      </c>
      <c r="X16" s="1043"/>
      <c r="Y16" s="1018">
        <f>団体情報・入力の仕方!$G$4</f>
        <v>0</v>
      </c>
      <c r="Z16" s="1019"/>
      <c r="AA16" s="1020"/>
      <c r="AB16" s="2"/>
      <c r="AC16" s="2"/>
    </row>
    <row r="17" spans="1:32" customFormat="1" ht="6.75" hidden="1" customHeight="1" thickBot="1" x14ac:dyDescent="0.25">
      <c r="A17" s="11"/>
      <c r="E17" s="1"/>
      <c r="Y17" s="197"/>
      <c r="Z17" s="197"/>
      <c r="AA17" s="8"/>
      <c r="AB17" s="8"/>
      <c r="AC17" s="8"/>
    </row>
    <row r="18" spans="1:32" customFormat="1" ht="19.5" hidden="1" customHeight="1" thickBot="1" x14ac:dyDescent="0.25">
      <c r="A18" s="317"/>
      <c r="B18" s="11"/>
      <c r="E18" s="1"/>
      <c r="F18" s="1000" t="s">
        <v>488</v>
      </c>
      <c r="G18" s="903"/>
      <c r="H18" s="904"/>
      <c r="I18" s="902" t="s">
        <v>1</v>
      </c>
      <c r="J18" s="903"/>
      <c r="K18" s="903"/>
      <c r="L18" s="903"/>
      <c r="M18" s="903"/>
      <c r="N18" s="904"/>
      <c r="O18" s="902" t="s">
        <v>2</v>
      </c>
      <c r="P18" s="903"/>
      <c r="Q18" s="904"/>
      <c r="R18" s="902" t="s">
        <v>3</v>
      </c>
      <c r="S18" s="903"/>
      <c r="T18" s="904"/>
      <c r="U18" s="902" t="s">
        <v>486</v>
      </c>
      <c r="V18" s="903"/>
      <c r="W18" s="994"/>
      <c r="X18" s="1029" t="s">
        <v>29</v>
      </c>
    </row>
    <row r="19" spans="1:32" customFormat="1" ht="19.5" hidden="1" customHeight="1" x14ac:dyDescent="0.2">
      <c r="E19" s="13" t="s">
        <v>47</v>
      </c>
      <c r="F19" s="1001" t="s">
        <v>37</v>
      </c>
      <c r="G19" s="1002"/>
      <c r="H19" s="1003"/>
      <c r="I19" s="12" t="s">
        <v>4</v>
      </c>
      <c r="J19" s="12" t="s">
        <v>5</v>
      </c>
      <c r="K19" s="12" t="s">
        <v>6</v>
      </c>
      <c r="L19" s="12" t="s">
        <v>7</v>
      </c>
      <c r="M19" s="12" t="s">
        <v>8</v>
      </c>
      <c r="N19" s="12" t="s">
        <v>9</v>
      </c>
      <c r="O19" s="12" t="s">
        <v>10</v>
      </c>
      <c r="P19" s="12" t="s">
        <v>11</v>
      </c>
      <c r="Q19" s="12" t="s">
        <v>12</v>
      </c>
      <c r="R19" s="12" t="s">
        <v>13</v>
      </c>
      <c r="S19" s="12" t="s">
        <v>14</v>
      </c>
      <c r="T19" s="12" t="s">
        <v>15</v>
      </c>
      <c r="U19" s="1001" t="s">
        <v>485</v>
      </c>
      <c r="V19" s="1002"/>
      <c r="W19" s="1004"/>
      <c r="X19" s="1036"/>
      <c r="AB19" s="2"/>
      <c r="AC19" s="2"/>
      <c r="AD19" s="2"/>
      <c r="AE19" s="2"/>
      <c r="AF19" s="2"/>
    </row>
    <row r="20" spans="1:32" customFormat="1" ht="19.5" hidden="1" customHeight="1" thickBot="1" x14ac:dyDescent="0.25">
      <c r="E20" s="181" t="s">
        <v>48</v>
      </c>
      <c r="F20" s="948" t="s">
        <v>489</v>
      </c>
      <c r="G20" s="948"/>
      <c r="H20" s="948"/>
      <c r="I20" s="948" t="s">
        <v>21</v>
      </c>
      <c r="J20" s="948"/>
      <c r="K20" s="948"/>
      <c r="L20" s="948" t="s">
        <v>22</v>
      </c>
      <c r="M20" s="948"/>
      <c r="N20" s="948"/>
      <c r="O20" s="948" t="s">
        <v>23</v>
      </c>
      <c r="P20" s="948"/>
      <c r="Q20" s="948"/>
      <c r="R20" s="948" t="s">
        <v>24</v>
      </c>
      <c r="S20" s="948"/>
      <c r="T20" s="948"/>
      <c r="U20" s="950" t="s">
        <v>487</v>
      </c>
      <c r="V20" s="951"/>
      <c r="W20" s="995"/>
      <c r="X20" s="1030"/>
      <c r="Y20" s="2"/>
    </row>
    <row r="21" spans="1:32" customFormat="1" ht="26.25" hidden="1" customHeight="1" thickTop="1" x14ac:dyDescent="0.2">
      <c r="A21" s="976" t="s">
        <v>490</v>
      </c>
      <c r="B21" s="977"/>
      <c r="C21" s="997" t="s">
        <v>38</v>
      </c>
      <c r="D21" s="839"/>
      <c r="E21" s="21" t="s">
        <v>39</v>
      </c>
      <c r="F21" s="1009">
        <f>入力シート!$BL$73</f>
        <v>0</v>
      </c>
      <c r="G21" s="1010"/>
      <c r="H21" s="1011"/>
      <c r="I21" s="1009">
        <f>入力シート!$BL$75</f>
        <v>0</v>
      </c>
      <c r="J21" s="1010"/>
      <c r="K21" s="1011"/>
      <c r="L21" s="1009">
        <f>入力シート!$BL$77</f>
        <v>0</v>
      </c>
      <c r="M21" s="1010"/>
      <c r="N21" s="1011"/>
      <c r="O21" s="1009">
        <f>入力シート!$BL$79</f>
        <v>0</v>
      </c>
      <c r="P21" s="1010"/>
      <c r="Q21" s="1011"/>
      <c r="R21" s="1009">
        <f>入力シート!$BL$81</f>
        <v>0</v>
      </c>
      <c r="S21" s="1010"/>
      <c r="T21" s="1011"/>
      <c r="U21" s="1009">
        <f>入力シート!$BL$83</f>
        <v>0</v>
      </c>
      <c r="V21" s="1010"/>
      <c r="W21" s="1011"/>
      <c r="X21" s="184">
        <f t="shared" ref="X21:X26" si="1">SUM(F21:W21)</f>
        <v>0</v>
      </c>
    </row>
    <row r="22" spans="1:32" customFormat="1" ht="26.25" hidden="1" customHeight="1" thickBot="1" x14ac:dyDescent="0.25">
      <c r="A22" s="978"/>
      <c r="B22" s="979"/>
      <c r="C22" s="840"/>
      <c r="D22" s="841"/>
      <c r="E22" s="14" t="s">
        <v>41</v>
      </c>
      <c r="F22" s="975">
        <f>入力シート!$BM$73</f>
        <v>0</v>
      </c>
      <c r="G22" s="975"/>
      <c r="H22" s="975"/>
      <c r="I22" s="975">
        <f>入力シート!$BM$75</f>
        <v>0</v>
      </c>
      <c r="J22" s="975"/>
      <c r="K22" s="975"/>
      <c r="L22" s="975">
        <f>入力シート!$BM$77</f>
        <v>0</v>
      </c>
      <c r="M22" s="975"/>
      <c r="N22" s="975"/>
      <c r="O22" s="975">
        <f>入力シート!$BM$79</f>
        <v>0</v>
      </c>
      <c r="P22" s="975"/>
      <c r="Q22" s="975"/>
      <c r="R22" s="975">
        <f>入力シート!$BM$81</f>
        <v>0</v>
      </c>
      <c r="S22" s="975"/>
      <c r="T22" s="975"/>
      <c r="U22" s="975">
        <f>入力シート!$BM$83</f>
        <v>0</v>
      </c>
      <c r="V22" s="975"/>
      <c r="W22" s="975"/>
      <c r="X22" s="185">
        <f t="shared" si="1"/>
        <v>0</v>
      </c>
    </row>
    <row r="23" spans="1:32" customFormat="1" ht="26.25" hidden="1" customHeight="1" thickTop="1" x14ac:dyDescent="0.2">
      <c r="A23" s="978"/>
      <c r="B23" s="979"/>
      <c r="C23" s="840"/>
      <c r="D23" s="841"/>
      <c r="E23" s="14" t="s">
        <v>43</v>
      </c>
      <c r="F23" s="975">
        <f>入力シート!$BN$73</f>
        <v>0</v>
      </c>
      <c r="G23" s="975"/>
      <c r="H23" s="975"/>
      <c r="I23" s="975">
        <f>入力シート!$BN$75</f>
        <v>0</v>
      </c>
      <c r="J23" s="975"/>
      <c r="K23" s="975"/>
      <c r="L23" s="975">
        <f>入力シート!$BN$77</f>
        <v>0</v>
      </c>
      <c r="M23" s="975"/>
      <c r="N23" s="975"/>
      <c r="O23" s="975">
        <f>入力シート!$BN$79</f>
        <v>0</v>
      </c>
      <c r="P23" s="975"/>
      <c r="Q23" s="975"/>
      <c r="R23" s="975">
        <f>入力シート!$BN$81</f>
        <v>0</v>
      </c>
      <c r="S23" s="975"/>
      <c r="T23" s="975"/>
      <c r="U23" s="975">
        <f>入力シート!$BN$83</f>
        <v>0</v>
      </c>
      <c r="V23" s="975"/>
      <c r="W23" s="975"/>
      <c r="X23" s="185">
        <f t="shared" si="1"/>
        <v>0</v>
      </c>
      <c r="Z23" s="863" t="s">
        <v>58</v>
      </c>
      <c r="AA23" s="864"/>
    </row>
    <row r="24" spans="1:32" customFormat="1" ht="26.25" hidden="1" customHeight="1" x14ac:dyDescent="0.2">
      <c r="A24" s="978"/>
      <c r="B24" s="979"/>
      <c r="C24" s="842"/>
      <c r="D24" s="843"/>
      <c r="E24" s="14" t="s">
        <v>45</v>
      </c>
      <c r="F24" s="975">
        <f>入力シート!$BO$73</f>
        <v>0</v>
      </c>
      <c r="G24" s="975"/>
      <c r="H24" s="975"/>
      <c r="I24" s="975">
        <f>入力シート!$BO$75</f>
        <v>0</v>
      </c>
      <c r="J24" s="975"/>
      <c r="K24" s="975"/>
      <c r="L24" s="975">
        <f>入力シート!$BO$77</f>
        <v>0</v>
      </c>
      <c r="M24" s="975"/>
      <c r="N24" s="975"/>
      <c r="O24" s="975">
        <f>入力シート!$BO$79</f>
        <v>0</v>
      </c>
      <c r="P24" s="975"/>
      <c r="Q24" s="975"/>
      <c r="R24" s="975">
        <f>入力シート!$BO$81</f>
        <v>0</v>
      </c>
      <c r="S24" s="975"/>
      <c r="T24" s="975"/>
      <c r="U24" s="975">
        <f>入力シート!$BO$83</f>
        <v>0</v>
      </c>
      <c r="V24" s="975"/>
      <c r="W24" s="975"/>
      <c r="X24" s="185">
        <f t="shared" si="1"/>
        <v>0</v>
      </c>
      <c r="Z24" s="1012">
        <f>SUM(X21:X26)</f>
        <v>0</v>
      </c>
      <c r="AA24" s="1013"/>
      <c r="AD24" s="2"/>
      <c r="AE24" s="2"/>
    </row>
    <row r="25" spans="1:32" customFormat="1" ht="26.25" hidden="1" customHeight="1" thickBot="1" x14ac:dyDescent="0.25">
      <c r="A25" s="978"/>
      <c r="B25" s="979"/>
      <c r="C25" s="844" t="s">
        <v>50</v>
      </c>
      <c r="D25" s="845"/>
      <c r="E25" s="14" t="s">
        <v>41</v>
      </c>
      <c r="F25" s="975">
        <f>入力シート!$BP$73</f>
        <v>0</v>
      </c>
      <c r="G25" s="975"/>
      <c r="H25" s="975"/>
      <c r="I25" s="975">
        <f>入力シート!$BP$75</f>
        <v>0</v>
      </c>
      <c r="J25" s="975"/>
      <c r="K25" s="975"/>
      <c r="L25" s="975">
        <f>入力シート!$BP$77</f>
        <v>0</v>
      </c>
      <c r="M25" s="975"/>
      <c r="N25" s="975"/>
      <c r="O25" s="975">
        <f>入力シート!$BP$79</f>
        <v>0</v>
      </c>
      <c r="P25" s="975"/>
      <c r="Q25" s="975"/>
      <c r="R25" s="975">
        <f>入力シート!$BP$81</f>
        <v>0</v>
      </c>
      <c r="S25" s="975"/>
      <c r="T25" s="975"/>
      <c r="U25" s="975">
        <f>入力シート!$BP$83</f>
        <v>0</v>
      </c>
      <c r="V25" s="975"/>
      <c r="W25" s="975"/>
      <c r="X25" s="185">
        <f t="shared" si="1"/>
        <v>0</v>
      </c>
      <c r="Z25" s="1014"/>
      <c r="AA25" s="1015"/>
      <c r="AD25" s="2"/>
      <c r="AE25" s="2"/>
    </row>
    <row r="26" spans="1:32" customFormat="1" ht="26.25" hidden="1" customHeight="1" thickTop="1" thickBot="1" x14ac:dyDescent="0.25">
      <c r="A26" s="980"/>
      <c r="B26" s="981"/>
      <c r="C26" s="849"/>
      <c r="D26" s="850"/>
      <c r="E26" s="58" t="s">
        <v>43</v>
      </c>
      <c r="F26" s="851">
        <f>入力シート!$BQ$73</f>
        <v>0</v>
      </c>
      <c r="G26" s="852"/>
      <c r="H26" s="999"/>
      <c r="I26" s="851">
        <f>入力シート!$BQ$75</f>
        <v>0</v>
      </c>
      <c r="J26" s="852"/>
      <c r="K26" s="999"/>
      <c r="L26" s="851">
        <f>入力シート!$BQ$77</f>
        <v>0</v>
      </c>
      <c r="M26" s="852"/>
      <c r="N26" s="999"/>
      <c r="O26" s="851">
        <f>入力シート!$BQ$79</f>
        <v>0</v>
      </c>
      <c r="P26" s="852"/>
      <c r="Q26" s="999"/>
      <c r="R26" s="851">
        <f>入力シート!$BQ$81</f>
        <v>0</v>
      </c>
      <c r="S26" s="852"/>
      <c r="T26" s="999"/>
      <c r="U26" s="851">
        <f>入力シート!$BQ$83</f>
        <v>0</v>
      </c>
      <c r="V26" s="852"/>
      <c r="W26" s="999"/>
      <c r="X26" s="186">
        <f t="shared" si="1"/>
        <v>0</v>
      </c>
      <c r="Z26" s="2"/>
      <c r="AA26" s="2"/>
      <c r="AD26" s="2"/>
      <c r="AE26" s="2"/>
    </row>
    <row r="27" spans="1:32" customFormat="1" ht="22.35" customHeight="1" thickBot="1" x14ac:dyDescent="0.25">
      <c r="A27" s="316"/>
      <c r="B27" s="316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512"/>
      <c r="AA27" s="512"/>
      <c r="AB27" s="1"/>
    </row>
    <row r="28" spans="1:32" customFormat="1" ht="20.100000000000001" hidden="1" customHeight="1" x14ac:dyDescent="0.2">
      <c r="A28" s="11"/>
      <c r="B28" s="11"/>
    </row>
    <row r="29" spans="1:32" customFormat="1" ht="20.100000000000001" hidden="1" customHeight="1" x14ac:dyDescent="0.2"/>
    <row r="30" spans="1:32" customFormat="1" ht="19.5" hidden="1" customHeight="1" thickBot="1" x14ac:dyDescent="0.25">
      <c r="E30" s="2"/>
    </row>
    <row r="31" spans="1:32" customFormat="1" ht="26.25" customHeight="1" x14ac:dyDescent="0.2">
      <c r="A31" s="857" t="s">
        <v>842</v>
      </c>
      <c r="B31" s="858"/>
      <c r="C31" s="997" t="s">
        <v>38</v>
      </c>
      <c r="D31" s="839"/>
      <c r="E31" s="17" t="s">
        <v>39</v>
      </c>
      <c r="F31" s="958">
        <f>マスターズ用入力シート!$BC$85</f>
        <v>0</v>
      </c>
      <c r="G31" s="959"/>
      <c r="H31" s="964"/>
    </row>
    <row r="32" spans="1:32" customFormat="1" ht="26.25" customHeight="1" x14ac:dyDescent="0.2">
      <c r="A32" s="859"/>
      <c r="B32" s="860"/>
      <c r="C32" s="840"/>
      <c r="D32" s="841"/>
      <c r="E32" s="14" t="s">
        <v>41</v>
      </c>
      <c r="F32" s="846">
        <f>マスターズ用入力シート!$BD$85</f>
        <v>0</v>
      </c>
      <c r="G32" s="847"/>
      <c r="H32" s="848"/>
    </row>
    <row r="33" spans="1:30" customFormat="1" ht="26.25" customHeight="1" x14ac:dyDescent="0.2">
      <c r="A33" s="859"/>
      <c r="B33" s="860"/>
      <c r="C33" s="840"/>
      <c r="D33" s="841"/>
      <c r="E33" s="14" t="s">
        <v>43</v>
      </c>
      <c r="F33" s="846">
        <f>マスターズ用入力シート!$BE$85</f>
        <v>0</v>
      </c>
      <c r="G33" s="847"/>
      <c r="H33" s="848"/>
    </row>
    <row r="34" spans="1:30" customFormat="1" ht="24" customHeight="1" thickBot="1" x14ac:dyDescent="0.25">
      <c r="A34" s="861"/>
      <c r="B34" s="862"/>
      <c r="C34" s="849"/>
      <c r="D34" s="850"/>
      <c r="E34" s="58" t="s">
        <v>45</v>
      </c>
      <c r="F34" s="851">
        <f>マスターズ用入力シート!$BF$85</f>
        <v>0</v>
      </c>
      <c r="G34" s="852"/>
      <c r="H34" s="853"/>
    </row>
    <row r="35" spans="1:30" customFormat="1" ht="22.35" customHeight="1" thickBot="1" x14ac:dyDescent="0.25">
      <c r="A35" s="316"/>
      <c r="B35" s="316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512"/>
      <c r="AA35" s="512"/>
      <c r="AB35" s="1"/>
    </row>
    <row r="36" spans="1:30" customFormat="1" ht="26.25" customHeight="1" thickTop="1" thickBot="1" x14ac:dyDescent="0.25">
      <c r="A36" s="988" t="s">
        <v>491</v>
      </c>
      <c r="B36" s="989"/>
      <c r="C36" s="989"/>
      <c r="D36" s="989"/>
      <c r="E36" s="989"/>
      <c r="F36" s="1021">
        <f>入力シート!P10</f>
        <v>0</v>
      </c>
      <c r="G36" s="1021"/>
      <c r="H36" s="1022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2"/>
      <c r="Y36" s="2"/>
      <c r="Z36" s="1016" t="s">
        <v>839</v>
      </c>
      <c r="AA36" s="1017"/>
      <c r="AB36" s="1"/>
    </row>
    <row r="37" spans="1:30" customFormat="1" ht="26.25" customHeight="1" x14ac:dyDescent="0.2">
      <c r="A37" s="516"/>
      <c r="B37" s="516"/>
      <c r="C37" s="516"/>
      <c r="D37" s="516"/>
      <c r="E37" s="516"/>
      <c r="F37" s="515"/>
      <c r="G37" s="515"/>
      <c r="H37" s="51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2"/>
      <c r="Y37" s="2"/>
      <c r="Z37" s="865">
        <f>SUM(F36:H37)</f>
        <v>0</v>
      </c>
      <c r="AA37" s="866"/>
      <c r="AB37" s="1"/>
    </row>
    <row r="38" spans="1:30" customFormat="1" ht="22.95" customHeight="1" thickBot="1" x14ac:dyDescent="0.25">
      <c r="F38" s="314"/>
      <c r="G38" s="314"/>
      <c r="H38" s="314"/>
      <c r="I38" s="314"/>
      <c r="J38" s="314"/>
      <c r="K38" s="314"/>
      <c r="L38" s="314"/>
      <c r="M38" s="314"/>
      <c r="N38" s="314"/>
      <c r="O38" s="314"/>
      <c r="P38" s="314"/>
      <c r="Q38" s="314"/>
      <c r="R38" s="314"/>
      <c r="S38" s="314"/>
      <c r="T38" s="314"/>
      <c r="U38" s="314"/>
      <c r="V38" s="314"/>
      <c r="W38" s="314"/>
      <c r="X38" s="314"/>
      <c r="Z38" s="867"/>
      <c r="AA38" s="868"/>
    </row>
    <row r="39" spans="1:30" customFormat="1" ht="22.95" customHeight="1" thickTop="1" thickBot="1" x14ac:dyDescent="0.25">
      <c r="E39" s="1"/>
      <c r="F39" s="1000" t="s">
        <v>488</v>
      </c>
      <c r="G39" s="903"/>
      <c r="H39" s="904"/>
      <c r="I39" s="902" t="s">
        <v>1</v>
      </c>
      <c r="J39" s="903"/>
      <c r="K39" s="903"/>
      <c r="L39" s="903"/>
      <c r="M39" s="903"/>
      <c r="N39" s="904"/>
      <c r="O39" s="902" t="s">
        <v>2</v>
      </c>
      <c r="P39" s="903"/>
      <c r="Q39" s="904"/>
      <c r="R39" s="902" t="s">
        <v>3</v>
      </c>
      <c r="S39" s="903"/>
      <c r="T39" s="904"/>
      <c r="U39" s="902" t="s">
        <v>486</v>
      </c>
      <c r="V39" s="903"/>
      <c r="W39" s="994"/>
      <c r="X39" s="1029" t="s">
        <v>29</v>
      </c>
      <c r="Z39" s="524"/>
      <c r="AA39" s="524"/>
    </row>
    <row r="40" spans="1:30" customFormat="1" ht="22.95" customHeight="1" x14ac:dyDescent="0.2">
      <c r="E40" s="13" t="s">
        <v>47</v>
      </c>
      <c r="F40" s="1001" t="s">
        <v>37</v>
      </c>
      <c r="G40" s="1002"/>
      <c r="H40" s="1003"/>
      <c r="I40" s="12" t="s">
        <v>4</v>
      </c>
      <c r="J40" s="12" t="s">
        <v>5</v>
      </c>
      <c r="K40" s="12" t="s">
        <v>6</v>
      </c>
      <c r="L40" s="12" t="s">
        <v>7</v>
      </c>
      <c r="M40" s="12" t="s">
        <v>8</v>
      </c>
      <c r="N40" s="12" t="s">
        <v>9</v>
      </c>
      <c r="O40" s="12" t="s">
        <v>10</v>
      </c>
      <c r="P40" s="12" t="s">
        <v>11</v>
      </c>
      <c r="Q40" s="12" t="s">
        <v>12</v>
      </c>
      <c r="R40" s="12" t="s">
        <v>13</v>
      </c>
      <c r="S40" s="12" t="s">
        <v>14</v>
      </c>
      <c r="T40" s="12" t="s">
        <v>15</v>
      </c>
      <c r="U40" s="1001" t="s">
        <v>485</v>
      </c>
      <c r="V40" s="1002"/>
      <c r="W40" s="1004"/>
      <c r="X40" s="1036"/>
      <c r="Z40" s="524"/>
      <c r="AA40" s="524"/>
    </row>
    <row r="41" spans="1:30" customFormat="1" ht="22.95" customHeight="1" thickBot="1" x14ac:dyDescent="0.25">
      <c r="E41" s="181" t="s">
        <v>48</v>
      </c>
      <c r="F41" s="948" t="s">
        <v>489</v>
      </c>
      <c r="G41" s="948"/>
      <c r="H41" s="948"/>
      <c r="I41" s="948" t="s">
        <v>21</v>
      </c>
      <c r="J41" s="948"/>
      <c r="K41" s="948"/>
      <c r="L41" s="948" t="s">
        <v>22</v>
      </c>
      <c r="M41" s="948"/>
      <c r="N41" s="948"/>
      <c r="O41" s="948" t="s">
        <v>23</v>
      </c>
      <c r="P41" s="948"/>
      <c r="Q41" s="948"/>
      <c r="R41" s="948" t="s">
        <v>24</v>
      </c>
      <c r="S41" s="948"/>
      <c r="T41" s="948"/>
      <c r="U41" s="950" t="s">
        <v>487</v>
      </c>
      <c r="V41" s="951"/>
      <c r="W41" s="995"/>
      <c r="X41" s="1030"/>
      <c r="Z41" s="524"/>
      <c r="AA41" s="524"/>
    </row>
    <row r="42" spans="1:30" customFormat="1" ht="26.25" customHeight="1" thickTop="1" x14ac:dyDescent="0.2">
      <c r="A42" s="878" t="s">
        <v>49</v>
      </c>
      <c r="B42" s="879"/>
      <c r="C42" s="838" t="s">
        <v>317</v>
      </c>
      <c r="D42" s="839"/>
      <c r="E42" s="17" t="s">
        <v>39</v>
      </c>
      <c r="F42" s="958">
        <f>入力シート!$BS$73</f>
        <v>0</v>
      </c>
      <c r="G42" s="959"/>
      <c r="H42" s="960"/>
      <c r="I42" s="958">
        <f>入力シート!$BS$75</f>
        <v>0</v>
      </c>
      <c r="J42" s="959"/>
      <c r="K42" s="960"/>
      <c r="L42" s="958">
        <f>入力シート!$BS$77</f>
        <v>0</v>
      </c>
      <c r="M42" s="959"/>
      <c r="N42" s="960"/>
      <c r="O42" s="958">
        <f>入力シート!$BS$79</f>
        <v>0</v>
      </c>
      <c r="P42" s="959"/>
      <c r="Q42" s="960"/>
      <c r="R42" s="958">
        <f>入力シート!$BS$81</f>
        <v>0</v>
      </c>
      <c r="S42" s="959"/>
      <c r="T42" s="960"/>
      <c r="U42" s="958">
        <f>入力シート!$BS$83</f>
        <v>0</v>
      </c>
      <c r="V42" s="959"/>
      <c r="W42" s="964"/>
      <c r="X42" s="315">
        <f>SUM(F42:W42)</f>
        <v>0</v>
      </c>
      <c r="Z42" s="509"/>
      <c r="AA42" s="509"/>
      <c r="AC42" s="2"/>
      <c r="AD42" s="2"/>
    </row>
    <row r="43" spans="1:30" customFormat="1" ht="26.25" customHeight="1" x14ac:dyDescent="0.2">
      <c r="A43" s="923"/>
      <c r="B43" s="925"/>
      <c r="C43" s="840"/>
      <c r="D43" s="841"/>
      <c r="E43" s="14" t="s">
        <v>41</v>
      </c>
      <c r="F43" s="871">
        <f>入力シート!$BS$85</f>
        <v>0</v>
      </c>
      <c r="G43" s="872"/>
      <c r="H43" s="873"/>
      <c r="I43" s="846">
        <f>入力シート!$BS$87</f>
        <v>0</v>
      </c>
      <c r="J43" s="847"/>
      <c r="K43" s="874"/>
      <c r="L43" s="846">
        <f>入力シート!$BS$89</f>
        <v>0</v>
      </c>
      <c r="M43" s="847"/>
      <c r="N43" s="874"/>
      <c r="O43" s="846">
        <f>入力シート!$BS$91</f>
        <v>0</v>
      </c>
      <c r="P43" s="847"/>
      <c r="Q43" s="874"/>
      <c r="R43" s="846">
        <f>入力シート!$BS$93</f>
        <v>0</v>
      </c>
      <c r="S43" s="847"/>
      <c r="T43" s="874"/>
      <c r="U43" s="846">
        <f>入力シート!$BS$95</f>
        <v>0</v>
      </c>
      <c r="V43" s="847"/>
      <c r="W43" s="848"/>
      <c r="X43" s="185">
        <f>SUM(F43:W43)</f>
        <v>0</v>
      </c>
      <c r="Z43" s="2"/>
      <c r="AA43" s="2"/>
      <c r="AC43" s="2"/>
      <c r="AD43" s="2"/>
    </row>
    <row r="44" spans="1:30" customFormat="1" ht="26.25" customHeight="1" x14ac:dyDescent="0.2">
      <c r="A44" s="923"/>
      <c r="B44" s="925"/>
      <c r="C44" s="840"/>
      <c r="D44" s="841"/>
      <c r="E44" s="14" t="s">
        <v>43</v>
      </c>
      <c r="F44" s="871">
        <f>入力シート!$BS$97</f>
        <v>0</v>
      </c>
      <c r="G44" s="872"/>
      <c r="H44" s="873"/>
      <c r="I44" s="846">
        <f>入力シート!$BS$99</f>
        <v>0</v>
      </c>
      <c r="J44" s="847"/>
      <c r="K44" s="874"/>
      <c r="L44" s="846">
        <f>入力シート!$BS$101</f>
        <v>0</v>
      </c>
      <c r="M44" s="847"/>
      <c r="N44" s="874"/>
      <c r="O44" s="846">
        <f>入力シート!$BS$103</f>
        <v>0</v>
      </c>
      <c r="P44" s="847"/>
      <c r="Q44" s="874"/>
      <c r="R44" s="846">
        <f>入力シート!$BS$105</f>
        <v>0</v>
      </c>
      <c r="S44" s="847"/>
      <c r="T44" s="874"/>
      <c r="U44" s="846">
        <f>入力シート!$BS$107</f>
        <v>0</v>
      </c>
      <c r="V44" s="847"/>
      <c r="W44" s="848"/>
      <c r="X44" s="185">
        <f>SUM(F44:W44)</f>
        <v>0</v>
      </c>
      <c r="AC44" s="2"/>
      <c r="AD44" s="2"/>
    </row>
    <row r="45" spans="1:30" customFormat="1" ht="26.25" customHeight="1" x14ac:dyDescent="0.2">
      <c r="A45" s="923"/>
      <c r="B45" s="925"/>
      <c r="C45" s="842"/>
      <c r="D45" s="843"/>
      <c r="E45" s="14" t="s">
        <v>45</v>
      </c>
      <c r="F45" s="871">
        <f>入力シート!$BS$109</f>
        <v>0</v>
      </c>
      <c r="G45" s="872"/>
      <c r="H45" s="873"/>
      <c r="I45" s="846">
        <f>入力シート!$BS$111</f>
        <v>0</v>
      </c>
      <c r="J45" s="847"/>
      <c r="K45" s="874"/>
      <c r="L45" s="846">
        <f>入力シート!$BS$113</f>
        <v>0</v>
      </c>
      <c r="M45" s="847"/>
      <c r="N45" s="874"/>
      <c r="O45" s="846">
        <f>入力シート!$BS$115</f>
        <v>0</v>
      </c>
      <c r="P45" s="847"/>
      <c r="Q45" s="874"/>
      <c r="R45" s="846">
        <f>入力シート!$BS$117</f>
        <v>0</v>
      </c>
      <c r="S45" s="847"/>
      <c r="T45" s="874"/>
      <c r="U45" s="846">
        <f>入力シート!$BS$119</f>
        <v>0</v>
      </c>
      <c r="V45" s="847"/>
      <c r="W45" s="848"/>
      <c r="X45" s="185">
        <f>SUM(F45:W45)</f>
        <v>0</v>
      </c>
      <c r="AC45" s="2"/>
      <c r="AD45" s="2"/>
    </row>
    <row r="46" spans="1:30" customFormat="1" ht="26.25" customHeight="1" x14ac:dyDescent="0.2">
      <c r="A46" s="923"/>
      <c r="B46" s="925"/>
      <c r="C46" s="844" t="s">
        <v>51</v>
      </c>
      <c r="D46" s="845"/>
      <c r="E46" s="14" t="s">
        <v>41</v>
      </c>
      <c r="F46" s="854"/>
      <c r="G46" s="855"/>
      <c r="H46" s="856"/>
      <c r="I46" s="846">
        <f>入力シート!$BT$87</f>
        <v>0</v>
      </c>
      <c r="J46" s="847"/>
      <c r="K46" s="874"/>
      <c r="L46" s="846">
        <f>入力シート!$BT$89</f>
        <v>0</v>
      </c>
      <c r="M46" s="847"/>
      <c r="N46" s="874"/>
      <c r="O46" s="846">
        <f>入力シート!$BT$91</f>
        <v>0</v>
      </c>
      <c r="P46" s="847"/>
      <c r="Q46" s="874"/>
      <c r="R46" s="846">
        <f>入力シート!$BT$93</f>
        <v>0</v>
      </c>
      <c r="S46" s="847"/>
      <c r="T46" s="874"/>
      <c r="U46" s="846">
        <f>入力シート!$BT$95</f>
        <v>0</v>
      </c>
      <c r="V46" s="847"/>
      <c r="W46" s="848"/>
      <c r="X46" s="184">
        <f>SUM(I46:W46)</f>
        <v>0</v>
      </c>
    </row>
    <row r="47" spans="1:30" customFormat="1" ht="26.25" customHeight="1" x14ac:dyDescent="0.2">
      <c r="A47" s="923"/>
      <c r="B47" s="925"/>
      <c r="C47" s="840"/>
      <c r="D47" s="841"/>
      <c r="E47" s="14" t="s">
        <v>43</v>
      </c>
      <c r="F47" s="854"/>
      <c r="G47" s="855"/>
      <c r="H47" s="856"/>
      <c r="I47" s="846">
        <f>入力シート!$BT$99</f>
        <v>0</v>
      </c>
      <c r="J47" s="847"/>
      <c r="K47" s="874"/>
      <c r="L47" s="846">
        <f>入力シート!$BT$101</f>
        <v>0</v>
      </c>
      <c r="M47" s="847"/>
      <c r="N47" s="874"/>
      <c r="O47" s="846">
        <f>入力シート!$BT$103</f>
        <v>0</v>
      </c>
      <c r="P47" s="847"/>
      <c r="Q47" s="874"/>
      <c r="R47" s="846">
        <f>入力シート!$BT$105</f>
        <v>0</v>
      </c>
      <c r="S47" s="847"/>
      <c r="T47" s="874"/>
      <c r="U47" s="846">
        <f>入力シート!$BT$107</f>
        <v>0</v>
      </c>
      <c r="V47" s="847"/>
      <c r="W47" s="848"/>
      <c r="X47" s="184">
        <f t="shared" ref="X47:X58" si="2">SUM(I47:W47)</f>
        <v>0</v>
      </c>
    </row>
    <row r="48" spans="1:30" customFormat="1" ht="26.25" customHeight="1" x14ac:dyDescent="0.2">
      <c r="A48" s="923"/>
      <c r="B48" s="925"/>
      <c r="C48" s="842"/>
      <c r="D48" s="843"/>
      <c r="E48" s="14" t="s">
        <v>45</v>
      </c>
      <c r="F48" s="854"/>
      <c r="G48" s="855"/>
      <c r="H48" s="856"/>
      <c r="I48" s="846">
        <f>入力シート!$BT$111</f>
        <v>0</v>
      </c>
      <c r="J48" s="847"/>
      <c r="K48" s="874"/>
      <c r="L48" s="846">
        <f>入力シート!$BT$113</f>
        <v>0</v>
      </c>
      <c r="M48" s="847"/>
      <c r="N48" s="874"/>
      <c r="O48" s="846">
        <f>入力シート!$BT$115</f>
        <v>0</v>
      </c>
      <c r="P48" s="847"/>
      <c r="Q48" s="874"/>
      <c r="R48" s="846">
        <f>入力シート!$BT$117</f>
        <v>0</v>
      </c>
      <c r="S48" s="847"/>
      <c r="T48" s="874"/>
      <c r="U48" s="846">
        <f>入力シート!$BT$119</f>
        <v>0</v>
      </c>
      <c r="V48" s="847"/>
      <c r="W48" s="848"/>
      <c r="X48" s="184">
        <f t="shared" si="2"/>
        <v>0</v>
      </c>
    </row>
    <row r="49" spans="1:27" customFormat="1" ht="26.25" customHeight="1" x14ac:dyDescent="0.2">
      <c r="A49" s="923"/>
      <c r="B49" s="925"/>
      <c r="C49" s="844" t="s">
        <v>52</v>
      </c>
      <c r="D49" s="845"/>
      <c r="E49" s="14" t="s">
        <v>41</v>
      </c>
      <c r="F49" s="854"/>
      <c r="G49" s="855"/>
      <c r="H49" s="856"/>
      <c r="I49" s="846">
        <f>入力シート!$BU$87</f>
        <v>0</v>
      </c>
      <c r="J49" s="847"/>
      <c r="K49" s="874"/>
      <c r="L49" s="846">
        <f>入力シート!$BU$89</f>
        <v>0</v>
      </c>
      <c r="M49" s="847"/>
      <c r="N49" s="874"/>
      <c r="O49" s="846">
        <f>入力シート!$BU$91</f>
        <v>0</v>
      </c>
      <c r="P49" s="847"/>
      <c r="Q49" s="874"/>
      <c r="R49" s="846">
        <f>入力シート!$BU$93</f>
        <v>0</v>
      </c>
      <c r="S49" s="847"/>
      <c r="T49" s="874"/>
      <c r="U49" s="846">
        <f>入力シート!$BU$95</f>
        <v>0</v>
      </c>
      <c r="V49" s="847"/>
      <c r="W49" s="848"/>
      <c r="X49" s="184">
        <f t="shared" si="2"/>
        <v>0</v>
      </c>
    </row>
    <row r="50" spans="1:27" customFormat="1" ht="26.25" customHeight="1" x14ac:dyDescent="0.2">
      <c r="A50" s="923"/>
      <c r="B50" s="925"/>
      <c r="C50" s="842"/>
      <c r="D50" s="843"/>
      <c r="E50" s="14" t="s">
        <v>45</v>
      </c>
      <c r="F50" s="854"/>
      <c r="G50" s="855"/>
      <c r="H50" s="856"/>
      <c r="I50" s="846">
        <f>入力シート!$BU$111</f>
        <v>0</v>
      </c>
      <c r="J50" s="847"/>
      <c r="K50" s="874"/>
      <c r="L50" s="846">
        <f>入力シート!$BU$113</f>
        <v>0</v>
      </c>
      <c r="M50" s="847"/>
      <c r="N50" s="874"/>
      <c r="O50" s="846">
        <f>入力シート!$BU$115</f>
        <v>0</v>
      </c>
      <c r="P50" s="847"/>
      <c r="Q50" s="874"/>
      <c r="R50" s="846">
        <f>入力シート!$BU$117</f>
        <v>0</v>
      </c>
      <c r="S50" s="847"/>
      <c r="T50" s="874"/>
      <c r="U50" s="846">
        <f>入力シート!$BU$119</f>
        <v>0</v>
      </c>
      <c r="V50" s="847"/>
      <c r="W50" s="848"/>
      <c r="X50" s="184">
        <f t="shared" si="2"/>
        <v>0</v>
      </c>
    </row>
    <row r="51" spans="1:27" customFormat="1" ht="26.25" customHeight="1" x14ac:dyDescent="0.2">
      <c r="A51" s="923"/>
      <c r="B51" s="925"/>
      <c r="C51" s="844" t="s">
        <v>542</v>
      </c>
      <c r="D51" s="845"/>
      <c r="E51" s="14" t="s">
        <v>41</v>
      </c>
      <c r="F51" s="854"/>
      <c r="G51" s="855"/>
      <c r="H51" s="856"/>
      <c r="I51" s="846">
        <f>入力シート!$BV$87</f>
        <v>0</v>
      </c>
      <c r="J51" s="847"/>
      <c r="K51" s="874"/>
      <c r="L51" s="846">
        <f>入力シート!$BV$89</f>
        <v>0</v>
      </c>
      <c r="M51" s="847"/>
      <c r="N51" s="874"/>
      <c r="O51" s="846">
        <f>入力シート!$BV$91</f>
        <v>0</v>
      </c>
      <c r="P51" s="847"/>
      <c r="Q51" s="874"/>
      <c r="R51" s="846">
        <f>入力シート!$BV$93</f>
        <v>0</v>
      </c>
      <c r="S51" s="847"/>
      <c r="T51" s="874"/>
      <c r="U51" s="846">
        <f>入力シート!$BV$95</f>
        <v>0</v>
      </c>
      <c r="V51" s="847"/>
      <c r="W51" s="848"/>
      <c r="X51" s="184">
        <f t="shared" si="2"/>
        <v>0</v>
      </c>
    </row>
    <row r="52" spans="1:27" customFormat="1" ht="26.25" customHeight="1" x14ac:dyDescent="0.2">
      <c r="A52" s="923"/>
      <c r="B52" s="925"/>
      <c r="C52" s="840"/>
      <c r="D52" s="841"/>
      <c r="E52" s="14" t="s">
        <v>43</v>
      </c>
      <c r="F52" s="854"/>
      <c r="G52" s="855"/>
      <c r="H52" s="856"/>
      <c r="I52" s="846">
        <f>入力シート!$BV$99</f>
        <v>0</v>
      </c>
      <c r="J52" s="847"/>
      <c r="K52" s="874"/>
      <c r="L52" s="846">
        <f>入力シート!$BV$101</f>
        <v>0</v>
      </c>
      <c r="M52" s="847"/>
      <c r="N52" s="874"/>
      <c r="O52" s="846">
        <f>入力シート!$BV$103</f>
        <v>0</v>
      </c>
      <c r="P52" s="847"/>
      <c r="Q52" s="874"/>
      <c r="R52" s="846">
        <f>入力シート!$BV$105</f>
        <v>0</v>
      </c>
      <c r="S52" s="847"/>
      <c r="T52" s="874"/>
      <c r="U52" s="846">
        <f>入力シート!$BV$107</f>
        <v>0</v>
      </c>
      <c r="V52" s="847"/>
      <c r="W52" s="848"/>
      <c r="X52" s="184">
        <f t="shared" si="2"/>
        <v>0</v>
      </c>
    </row>
    <row r="53" spans="1:27" customFormat="1" ht="26.25" customHeight="1" x14ac:dyDescent="0.2">
      <c r="A53" s="923"/>
      <c r="B53" s="925"/>
      <c r="C53" s="842"/>
      <c r="D53" s="843"/>
      <c r="E53" s="14" t="s">
        <v>45</v>
      </c>
      <c r="F53" s="854"/>
      <c r="G53" s="855"/>
      <c r="H53" s="856"/>
      <c r="I53" s="846">
        <f>入力シート!$BV$111</f>
        <v>0</v>
      </c>
      <c r="J53" s="847"/>
      <c r="K53" s="874"/>
      <c r="L53" s="846">
        <f>入力シート!$BV$113</f>
        <v>0</v>
      </c>
      <c r="M53" s="847"/>
      <c r="N53" s="874"/>
      <c r="O53" s="846">
        <f>入力シート!$BV$115</f>
        <v>0</v>
      </c>
      <c r="P53" s="847"/>
      <c r="Q53" s="874"/>
      <c r="R53" s="846">
        <f>入力シート!$BV$117</f>
        <v>0</v>
      </c>
      <c r="S53" s="847"/>
      <c r="T53" s="874"/>
      <c r="U53" s="846">
        <f>入力シート!$BV$119</f>
        <v>0</v>
      </c>
      <c r="V53" s="847"/>
      <c r="W53" s="848"/>
      <c r="X53" s="184">
        <f t="shared" si="2"/>
        <v>0</v>
      </c>
    </row>
    <row r="54" spans="1:27" customFormat="1" ht="26.25" customHeight="1" x14ac:dyDescent="0.2">
      <c r="A54" s="923"/>
      <c r="B54" s="925"/>
      <c r="C54" s="840" t="s">
        <v>544</v>
      </c>
      <c r="D54" s="841"/>
      <c r="E54" s="21" t="s">
        <v>41</v>
      </c>
      <c r="F54" s="854"/>
      <c r="G54" s="855"/>
      <c r="H54" s="856"/>
      <c r="I54" s="846">
        <f>入力シート!$BW$87</f>
        <v>0</v>
      </c>
      <c r="J54" s="847"/>
      <c r="K54" s="874"/>
      <c r="L54" s="846">
        <f>入力シート!$BW$89</f>
        <v>0</v>
      </c>
      <c r="M54" s="847"/>
      <c r="N54" s="874"/>
      <c r="O54" s="846">
        <f>入力シート!$BW$91</f>
        <v>0</v>
      </c>
      <c r="P54" s="847"/>
      <c r="Q54" s="874"/>
      <c r="R54" s="846">
        <f>入力シート!$BW$93</f>
        <v>0</v>
      </c>
      <c r="S54" s="847"/>
      <c r="T54" s="874"/>
      <c r="U54" s="846">
        <f>入力シート!$BW$95</f>
        <v>0</v>
      </c>
      <c r="V54" s="847"/>
      <c r="W54" s="848"/>
      <c r="X54" s="184">
        <f t="shared" si="2"/>
        <v>0</v>
      </c>
    </row>
    <row r="55" spans="1:27" customFormat="1" ht="26.25" customHeight="1" x14ac:dyDescent="0.2">
      <c r="A55" s="923"/>
      <c r="B55" s="925"/>
      <c r="C55" s="840"/>
      <c r="D55" s="841"/>
      <c r="E55" s="14" t="s">
        <v>43</v>
      </c>
      <c r="F55" s="854"/>
      <c r="G55" s="855"/>
      <c r="H55" s="856"/>
      <c r="I55" s="846">
        <f>入力シート!$BW$99</f>
        <v>0</v>
      </c>
      <c r="J55" s="847"/>
      <c r="K55" s="874"/>
      <c r="L55" s="846">
        <f>入力シート!$BW$101</f>
        <v>0</v>
      </c>
      <c r="M55" s="847"/>
      <c r="N55" s="874"/>
      <c r="O55" s="846">
        <f>入力シート!$BW$103</f>
        <v>0</v>
      </c>
      <c r="P55" s="847"/>
      <c r="Q55" s="874"/>
      <c r="R55" s="846">
        <f>入力シート!$BW$105</f>
        <v>0</v>
      </c>
      <c r="S55" s="847"/>
      <c r="T55" s="874"/>
      <c r="U55" s="846">
        <f>入力シート!$BW$107</f>
        <v>0</v>
      </c>
      <c r="V55" s="847"/>
      <c r="W55" s="848"/>
      <c r="X55" s="184">
        <f t="shared" si="2"/>
        <v>0</v>
      </c>
    </row>
    <row r="56" spans="1:27" customFormat="1" ht="26.25" customHeight="1" thickBot="1" x14ac:dyDescent="0.25">
      <c r="A56" s="923"/>
      <c r="B56" s="925"/>
      <c r="C56" s="842"/>
      <c r="D56" s="843"/>
      <c r="E56" s="14" t="s">
        <v>45</v>
      </c>
      <c r="F56" s="854"/>
      <c r="G56" s="855"/>
      <c r="H56" s="856"/>
      <c r="I56" s="846">
        <f>入力シート!$BW$111</f>
        <v>0</v>
      </c>
      <c r="J56" s="847"/>
      <c r="K56" s="874"/>
      <c r="L56" s="846">
        <f>入力シート!$BW$113</f>
        <v>0</v>
      </c>
      <c r="M56" s="847"/>
      <c r="N56" s="874"/>
      <c r="O56" s="846">
        <f>入力シート!$BW$115</f>
        <v>0</v>
      </c>
      <c r="P56" s="847"/>
      <c r="Q56" s="874"/>
      <c r="R56" s="846">
        <f>入力シート!$BW$117</f>
        <v>0</v>
      </c>
      <c r="S56" s="847"/>
      <c r="T56" s="874"/>
      <c r="U56" s="846">
        <f>入力シート!$BW$119</f>
        <v>0</v>
      </c>
      <c r="V56" s="847"/>
      <c r="W56" s="848"/>
      <c r="X56" s="184">
        <f>SUM(I56:W56)</f>
        <v>0</v>
      </c>
    </row>
    <row r="57" spans="1:27" customFormat="1" ht="26.25" customHeight="1" thickTop="1" x14ac:dyDescent="0.2">
      <c r="A57" s="923"/>
      <c r="B57" s="925"/>
      <c r="C57" s="844" t="s">
        <v>53</v>
      </c>
      <c r="D57" s="845"/>
      <c r="E57" s="14" t="s">
        <v>41</v>
      </c>
      <c r="F57" s="854"/>
      <c r="G57" s="855"/>
      <c r="H57" s="856"/>
      <c r="I57" s="846">
        <f>入力シート!$CC$87</f>
        <v>0</v>
      </c>
      <c r="J57" s="847"/>
      <c r="K57" s="874"/>
      <c r="L57" s="846">
        <f>入力シート!$CC$89</f>
        <v>0</v>
      </c>
      <c r="M57" s="847"/>
      <c r="N57" s="874"/>
      <c r="O57" s="975">
        <f>入力シート!$CC$91</f>
        <v>0</v>
      </c>
      <c r="P57" s="975"/>
      <c r="Q57" s="975"/>
      <c r="R57" s="975">
        <f>入力シート!$CC$93</f>
        <v>0</v>
      </c>
      <c r="S57" s="975"/>
      <c r="T57" s="975"/>
      <c r="U57" s="846">
        <f>入力シート!$CC$95</f>
        <v>0</v>
      </c>
      <c r="V57" s="847"/>
      <c r="W57" s="848"/>
      <c r="X57" s="185">
        <f t="shared" si="2"/>
        <v>0</v>
      </c>
      <c r="Z57" s="863" t="s">
        <v>59</v>
      </c>
      <c r="AA57" s="864"/>
    </row>
    <row r="58" spans="1:27" customFormat="1" ht="26.25" customHeight="1" x14ac:dyDescent="0.2">
      <c r="A58" s="923"/>
      <c r="B58" s="925"/>
      <c r="C58" s="840"/>
      <c r="D58" s="841"/>
      <c r="E58" s="14" t="s">
        <v>43</v>
      </c>
      <c r="F58" s="854"/>
      <c r="G58" s="855"/>
      <c r="H58" s="856"/>
      <c r="I58" s="846">
        <f>入力シート!$CC$99</f>
        <v>0</v>
      </c>
      <c r="J58" s="847"/>
      <c r="K58" s="874"/>
      <c r="L58" s="846">
        <f>入力シート!$CC$101</f>
        <v>0</v>
      </c>
      <c r="M58" s="847"/>
      <c r="N58" s="874"/>
      <c r="O58" s="975">
        <f>入力シート!$CC$103</f>
        <v>0</v>
      </c>
      <c r="P58" s="975"/>
      <c r="Q58" s="975"/>
      <c r="R58" s="975">
        <f>入力シート!$CC$105</f>
        <v>0</v>
      </c>
      <c r="S58" s="975"/>
      <c r="T58" s="975"/>
      <c r="U58" s="846">
        <f>入力シート!$CC$107</f>
        <v>0</v>
      </c>
      <c r="V58" s="847"/>
      <c r="W58" s="848"/>
      <c r="X58" s="184">
        <f t="shared" si="2"/>
        <v>0</v>
      </c>
      <c r="Z58" s="865">
        <f>SUM(X42:X59,F61:H78)</f>
        <v>0</v>
      </c>
      <c r="AA58" s="866"/>
    </row>
    <row r="59" spans="1:27" customFormat="1" ht="26.25" customHeight="1" thickBot="1" x14ac:dyDescent="0.25">
      <c r="A59" s="880"/>
      <c r="B59" s="881"/>
      <c r="C59" s="849"/>
      <c r="D59" s="850"/>
      <c r="E59" s="58" t="s">
        <v>45</v>
      </c>
      <c r="F59" s="961"/>
      <c r="G59" s="962"/>
      <c r="H59" s="963"/>
      <c r="I59" s="851">
        <f>入力シート!$CC$111</f>
        <v>0</v>
      </c>
      <c r="J59" s="852"/>
      <c r="K59" s="999"/>
      <c r="L59" s="851">
        <f>入力シート!$CC$113</f>
        <v>0</v>
      </c>
      <c r="M59" s="852"/>
      <c r="N59" s="999"/>
      <c r="O59" s="1060">
        <f>入力シート!$CC$115</f>
        <v>0</v>
      </c>
      <c r="P59" s="1060"/>
      <c r="Q59" s="1060"/>
      <c r="R59" s="1060">
        <f>入力シート!$CC$117</f>
        <v>0</v>
      </c>
      <c r="S59" s="1060"/>
      <c r="T59" s="1060"/>
      <c r="U59" s="851">
        <f>入力シート!$CC$119</f>
        <v>0</v>
      </c>
      <c r="V59" s="852"/>
      <c r="W59" s="853"/>
      <c r="X59" s="186">
        <f>SUM(I59:W59)</f>
        <v>0</v>
      </c>
      <c r="Z59" s="867"/>
      <c r="AA59" s="868"/>
    </row>
    <row r="60" spans="1:27" customFormat="1" ht="20.100000000000001" customHeight="1" thickBot="1" x14ac:dyDescent="0.25">
      <c r="A60" s="11"/>
      <c r="B60" s="1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2"/>
    </row>
    <row r="61" spans="1:27" customFormat="1" ht="26.25" customHeight="1" x14ac:dyDescent="0.2">
      <c r="A61" s="832" t="s">
        <v>843</v>
      </c>
      <c r="B61" s="833"/>
      <c r="C61" s="838" t="s">
        <v>214</v>
      </c>
      <c r="D61" s="839"/>
      <c r="E61" s="17" t="s">
        <v>39</v>
      </c>
      <c r="F61" s="958">
        <f>マスターズ用入力シート!$BP$121</f>
        <v>0</v>
      </c>
      <c r="G61" s="959"/>
      <c r="H61" s="964"/>
      <c r="J61" s="509"/>
      <c r="K61" s="509"/>
      <c r="M61" s="2"/>
      <c r="N61" s="2"/>
    </row>
    <row r="62" spans="1:27" customFormat="1" ht="26.25" customHeight="1" x14ac:dyDescent="0.2">
      <c r="A62" s="834"/>
      <c r="B62" s="835"/>
      <c r="C62" s="840"/>
      <c r="D62" s="841"/>
      <c r="E62" s="14" t="s">
        <v>41</v>
      </c>
      <c r="F62" s="846">
        <f>マスターズ用入力シート!$BP$122</f>
        <v>0</v>
      </c>
      <c r="G62" s="847"/>
      <c r="H62" s="848"/>
      <c r="J62" s="2"/>
      <c r="K62" s="2"/>
      <c r="M62" s="2"/>
      <c r="N62" s="2"/>
    </row>
    <row r="63" spans="1:27" customFormat="1" ht="26.25" customHeight="1" x14ac:dyDescent="0.2">
      <c r="A63" s="834"/>
      <c r="B63" s="835"/>
      <c r="C63" s="840"/>
      <c r="D63" s="841"/>
      <c r="E63" s="14" t="s">
        <v>43</v>
      </c>
      <c r="F63" s="846">
        <f>マスターズ用入力シート!$BP$123</f>
        <v>0</v>
      </c>
      <c r="G63" s="847"/>
      <c r="H63" s="848"/>
      <c r="M63" s="2"/>
      <c r="N63" s="2"/>
    </row>
    <row r="64" spans="1:27" customFormat="1" ht="26.25" customHeight="1" x14ac:dyDescent="0.2">
      <c r="A64" s="834"/>
      <c r="B64" s="835"/>
      <c r="C64" s="842"/>
      <c r="D64" s="843"/>
      <c r="E64" s="14" t="s">
        <v>45</v>
      </c>
      <c r="F64" s="846">
        <f>マスターズ用入力シート!$BP$124</f>
        <v>0</v>
      </c>
      <c r="G64" s="847"/>
      <c r="H64" s="848"/>
      <c r="M64" s="2"/>
      <c r="N64" s="2"/>
    </row>
    <row r="65" spans="1:27" customFormat="1" ht="26.25" customHeight="1" x14ac:dyDescent="0.2">
      <c r="A65" s="834"/>
      <c r="B65" s="835"/>
      <c r="C65" s="844" t="s">
        <v>51</v>
      </c>
      <c r="D65" s="845"/>
      <c r="E65" s="14" t="s">
        <v>41</v>
      </c>
      <c r="F65" s="846">
        <f>マスターズ用入力シート!$BQ$122</f>
        <v>0</v>
      </c>
      <c r="G65" s="847"/>
      <c r="H65" s="848"/>
    </row>
    <row r="66" spans="1:27" customFormat="1" ht="26.25" customHeight="1" x14ac:dyDescent="0.2">
      <c r="A66" s="834"/>
      <c r="B66" s="835"/>
      <c r="C66" s="840"/>
      <c r="D66" s="841"/>
      <c r="E66" s="14" t="s">
        <v>43</v>
      </c>
      <c r="F66" s="846">
        <f>マスターズ用入力シート!$BQ$123</f>
        <v>0</v>
      </c>
      <c r="G66" s="847"/>
      <c r="H66" s="848"/>
    </row>
    <row r="67" spans="1:27" customFormat="1" ht="26.25" customHeight="1" x14ac:dyDescent="0.2">
      <c r="A67" s="834"/>
      <c r="B67" s="835"/>
      <c r="C67" s="842"/>
      <c r="D67" s="843"/>
      <c r="E67" s="14" t="s">
        <v>45</v>
      </c>
      <c r="F67" s="846">
        <f>マスターズ用入力シート!$BQ$124</f>
        <v>0</v>
      </c>
      <c r="G67" s="847"/>
      <c r="H67" s="848"/>
    </row>
    <row r="68" spans="1:27" customFormat="1" ht="26.25" customHeight="1" x14ac:dyDescent="0.2">
      <c r="A68" s="834"/>
      <c r="B68" s="835"/>
      <c r="C68" s="844" t="s">
        <v>52</v>
      </c>
      <c r="D68" s="845"/>
      <c r="E68" s="14" t="s">
        <v>41</v>
      </c>
      <c r="F68" s="846">
        <f>マスターズ用入力シート!$BR$122</f>
        <v>0</v>
      </c>
      <c r="G68" s="847"/>
      <c r="H68" s="848"/>
    </row>
    <row r="69" spans="1:27" customFormat="1" ht="26.25" customHeight="1" x14ac:dyDescent="0.2">
      <c r="A69" s="834"/>
      <c r="B69" s="835"/>
      <c r="C69" s="842"/>
      <c r="D69" s="843"/>
      <c r="E69" s="14" t="s">
        <v>45</v>
      </c>
      <c r="F69" s="846">
        <f>マスターズ用入力シート!$BR$124</f>
        <v>0</v>
      </c>
      <c r="G69" s="847"/>
      <c r="H69" s="848"/>
    </row>
    <row r="70" spans="1:27" customFormat="1" ht="26.25" customHeight="1" x14ac:dyDescent="0.2">
      <c r="A70" s="834"/>
      <c r="B70" s="835"/>
      <c r="C70" s="844" t="s">
        <v>218</v>
      </c>
      <c r="D70" s="845"/>
      <c r="E70" s="14" t="s">
        <v>41</v>
      </c>
      <c r="F70" s="846">
        <f>マスターズ用入力シート!$BS$122</f>
        <v>0</v>
      </c>
      <c r="G70" s="847"/>
      <c r="H70" s="848"/>
    </row>
    <row r="71" spans="1:27" customFormat="1" ht="26.25" customHeight="1" x14ac:dyDescent="0.2">
      <c r="A71" s="834"/>
      <c r="B71" s="835"/>
      <c r="C71" s="840"/>
      <c r="D71" s="841"/>
      <c r="E71" s="14" t="s">
        <v>43</v>
      </c>
      <c r="F71" s="846">
        <f>マスターズ用入力シート!$BS$123</f>
        <v>0</v>
      </c>
      <c r="G71" s="847"/>
      <c r="H71" s="848"/>
    </row>
    <row r="72" spans="1:27" customFormat="1" ht="26.25" customHeight="1" x14ac:dyDescent="0.2">
      <c r="A72" s="834"/>
      <c r="B72" s="835"/>
      <c r="C72" s="842"/>
      <c r="D72" s="843"/>
      <c r="E72" s="14" t="s">
        <v>45</v>
      </c>
      <c r="F72" s="846">
        <f>マスターズ用入力シート!$BS$124</f>
        <v>0</v>
      </c>
      <c r="G72" s="847"/>
      <c r="H72" s="848"/>
    </row>
    <row r="73" spans="1:27" customFormat="1" ht="26.25" customHeight="1" x14ac:dyDescent="0.2">
      <c r="A73" s="834"/>
      <c r="B73" s="835"/>
      <c r="C73" s="840" t="s">
        <v>287</v>
      </c>
      <c r="D73" s="841"/>
      <c r="E73" s="21" t="s">
        <v>41</v>
      </c>
      <c r="F73" s="846">
        <f>マスターズ用入力シート!$BT$122</f>
        <v>0</v>
      </c>
      <c r="G73" s="847"/>
      <c r="H73" s="848"/>
    </row>
    <row r="74" spans="1:27" customFormat="1" ht="26.25" customHeight="1" x14ac:dyDescent="0.2">
      <c r="A74" s="834"/>
      <c r="B74" s="835"/>
      <c r="C74" s="840"/>
      <c r="D74" s="841"/>
      <c r="E74" s="14" t="s">
        <v>43</v>
      </c>
      <c r="F74" s="846">
        <f>マスターズ用入力シート!$BT$123</f>
        <v>0</v>
      </c>
      <c r="G74" s="847"/>
      <c r="H74" s="848"/>
    </row>
    <row r="75" spans="1:27" customFormat="1" ht="26.25" customHeight="1" x14ac:dyDescent="0.2">
      <c r="A75" s="834"/>
      <c r="B75" s="835"/>
      <c r="C75" s="842"/>
      <c r="D75" s="843"/>
      <c r="E75" s="14" t="s">
        <v>45</v>
      </c>
      <c r="F75" s="846">
        <f>マスターズ用入力シート!$BT$124</f>
        <v>0</v>
      </c>
      <c r="G75" s="847"/>
      <c r="H75" s="848"/>
    </row>
    <row r="76" spans="1:27" customFormat="1" ht="26.25" customHeight="1" x14ac:dyDescent="0.2">
      <c r="A76" s="834"/>
      <c r="B76" s="835"/>
      <c r="C76" s="844" t="s">
        <v>53</v>
      </c>
      <c r="D76" s="845"/>
      <c r="E76" s="14" t="s">
        <v>41</v>
      </c>
      <c r="F76" s="846">
        <f>マスターズ用入力シート!$BZ$122</f>
        <v>0</v>
      </c>
      <c r="G76" s="847"/>
      <c r="H76" s="848"/>
    </row>
    <row r="77" spans="1:27" customFormat="1" ht="26.25" customHeight="1" x14ac:dyDescent="0.2">
      <c r="A77" s="834"/>
      <c r="B77" s="835"/>
      <c r="C77" s="840"/>
      <c r="D77" s="841"/>
      <c r="E77" s="14" t="s">
        <v>43</v>
      </c>
      <c r="F77" s="846">
        <f>マスターズ用入力シート!$BZ$123</f>
        <v>0</v>
      </c>
      <c r="G77" s="847"/>
      <c r="H77" s="848"/>
    </row>
    <row r="78" spans="1:27" customFormat="1" ht="26.25" customHeight="1" thickBot="1" x14ac:dyDescent="0.25">
      <c r="A78" s="836"/>
      <c r="B78" s="837"/>
      <c r="C78" s="849"/>
      <c r="D78" s="850"/>
      <c r="E78" s="58" t="s">
        <v>45</v>
      </c>
      <c r="F78" s="851">
        <f>マスターズ用入力シート!$BZ$124</f>
        <v>0</v>
      </c>
      <c r="G78" s="852"/>
      <c r="H78" s="853"/>
    </row>
    <row r="79" spans="1:27" customFormat="1" ht="20.100000000000001" customHeight="1" thickBot="1" x14ac:dyDescent="0.25">
      <c r="A79" s="11"/>
      <c r="B79" s="1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2"/>
    </row>
    <row r="80" spans="1:27" customFormat="1" ht="38.25" customHeight="1" thickBot="1" x14ac:dyDescent="0.25">
      <c r="C80" s="317"/>
      <c r="D80" s="317"/>
      <c r="E80" s="194" t="s">
        <v>48</v>
      </c>
      <c r="F80" s="957" t="s">
        <v>848</v>
      </c>
      <c r="G80" s="957"/>
      <c r="H80" s="957"/>
      <c r="I80" s="957" t="s">
        <v>849</v>
      </c>
      <c r="J80" s="957"/>
      <c r="K80" s="957"/>
      <c r="L80" s="957" t="s">
        <v>850</v>
      </c>
      <c r="M80" s="957"/>
      <c r="N80" s="957"/>
      <c r="O80" s="957" t="s">
        <v>851</v>
      </c>
      <c r="P80" s="957"/>
      <c r="Q80" s="957"/>
      <c r="R80" s="957" t="s">
        <v>854</v>
      </c>
      <c r="S80" s="957"/>
      <c r="T80" s="957"/>
      <c r="U80" s="195" t="s">
        <v>29</v>
      </c>
      <c r="V80" s="566"/>
      <c r="W80" s="567"/>
      <c r="X80" s="568"/>
      <c r="Y80" s="2"/>
    </row>
    <row r="81" spans="1:30" customFormat="1" ht="25.5" customHeight="1" thickTop="1" x14ac:dyDescent="0.2">
      <c r="A81" s="965" t="s">
        <v>699</v>
      </c>
      <c r="B81" s="966"/>
      <c r="C81" s="838" t="s">
        <v>674</v>
      </c>
      <c r="D81" s="971"/>
      <c r="E81" s="142"/>
      <c r="F81" s="949">
        <f>入力シート!$CG$72</f>
        <v>0</v>
      </c>
      <c r="G81" s="949"/>
      <c r="H81" s="949"/>
      <c r="I81" s="949">
        <f>入力シート!$CG$73</f>
        <v>0</v>
      </c>
      <c r="J81" s="949"/>
      <c r="K81" s="949"/>
      <c r="L81" s="949">
        <f>入力シート!$CG$74</f>
        <v>0</v>
      </c>
      <c r="M81" s="949"/>
      <c r="N81" s="949"/>
      <c r="O81" s="949">
        <f>入力シート!$CG$75</f>
        <v>0</v>
      </c>
      <c r="P81" s="949"/>
      <c r="Q81" s="949"/>
      <c r="R81" s="949">
        <f>入力シート!$CG$76+入力シート!$CG$77</f>
        <v>0</v>
      </c>
      <c r="S81" s="949"/>
      <c r="T81" s="949"/>
      <c r="U81" s="329">
        <f>SUM(F81:T81)</f>
        <v>0</v>
      </c>
      <c r="V81" s="569"/>
      <c r="W81" s="570"/>
      <c r="X81" s="543"/>
      <c r="Y81" s="2"/>
      <c r="Z81" s="2"/>
      <c r="AA81" s="2"/>
    </row>
    <row r="82" spans="1:30" customFormat="1" ht="25.5" customHeight="1" x14ac:dyDescent="0.2">
      <c r="A82" s="967"/>
      <c r="B82" s="968"/>
      <c r="C82" s="972" t="s">
        <v>19</v>
      </c>
      <c r="D82" s="973"/>
      <c r="E82" s="15"/>
      <c r="F82" s="953">
        <f>入力シート!$CI$73</f>
        <v>0</v>
      </c>
      <c r="G82" s="954"/>
      <c r="H82" s="954"/>
      <c r="I82" s="954"/>
      <c r="J82" s="954"/>
      <c r="K82" s="955"/>
      <c r="L82" s="949">
        <f>入力シート!$CI$74</f>
        <v>0</v>
      </c>
      <c r="M82" s="949"/>
      <c r="N82" s="949"/>
      <c r="O82" s="949">
        <f>入力シート!$CI$75</f>
        <v>0</v>
      </c>
      <c r="P82" s="949"/>
      <c r="Q82" s="949"/>
      <c r="R82" s="949">
        <f>入力シート!$CI$76+入力シート!$CI$77</f>
        <v>0</v>
      </c>
      <c r="S82" s="949"/>
      <c r="T82" s="949"/>
      <c r="U82" s="328">
        <f t="shared" ref="U82:U86" si="3">SUM(F82:T82)</f>
        <v>0</v>
      </c>
      <c r="V82" s="569"/>
      <c r="W82" s="570"/>
      <c r="X82" s="543"/>
      <c r="Y82" s="2"/>
      <c r="Z82" s="2"/>
      <c r="AA82" s="2"/>
    </row>
    <row r="83" spans="1:30" customFormat="1" ht="25.5" customHeight="1" thickBot="1" x14ac:dyDescent="0.25">
      <c r="A83" s="967"/>
      <c r="B83" s="968"/>
      <c r="C83" s="972" t="s">
        <v>316</v>
      </c>
      <c r="D83" s="973"/>
      <c r="E83" s="15"/>
      <c r="F83" s="953">
        <f>入力シート!$CK$73</f>
        <v>0</v>
      </c>
      <c r="G83" s="954"/>
      <c r="H83" s="954"/>
      <c r="I83" s="954"/>
      <c r="J83" s="954"/>
      <c r="K83" s="955"/>
      <c r="L83" s="949">
        <f>入力シート!$CK$74</f>
        <v>0</v>
      </c>
      <c r="M83" s="949"/>
      <c r="N83" s="949"/>
      <c r="O83" s="949">
        <f>入力シート!$CK$75</f>
        <v>0</v>
      </c>
      <c r="P83" s="949"/>
      <c r="Q83" s="949"/>
      <c r="R83" s="949">
        <f>入力シート!$CK$76+入力シート!$CK$77</f>
        <v>0</v>
      </c>
      <c r="S83" s="949"/>
      <c r="T83" s="949"/>
      <c r="U83" s="328">
        <f t="shared" si="3"/>
        <v>0</v>
      </c>
      <c r="V83" s="569"/>
      <c r="W83" s="570"/>
      <c r="X83" s="543"/>
      <c r="Y83" s="2"/>
      <c r="Z83" s="2"/>
      <c r="AA83" s="2"/>
      <c r="AB83" s="2"/>
      <c r="AC83" s="2"/>
    </row>
    <row r="84" spans="1:30" customFormat="1" ht="25.5" customHeight="1" thickTop="1" x14ac:dyDescent="0.2">
      <c r="A84" s="967"/>
      <c r="B84" s="968"/>
      <c r="C84" s="986" t="s">
        <v>75</v>
      </c>
      <c r="D84" s="987"/>
      <c r="E84" s="15"/>
      <c r="F84" s="953">
        <f>入力シート!$CM$73</f>
        <v>0</v>
      </c>
      <c r="G84" s="954"/>
      <c r="H84" s="954"/>
      <c r="I84" s="954"/>
      <c r="J84" s="954"/>
      <c r="K84" s="955"/>
      <c r="L84" s="949">
        <f>入力シート!$CM$74</f>
        <v>0</v>
      </c>
      <c r="M84" s="949"/>
      <c r="N84" s="949"/>
      <c r="O84" s="949">
        <f>入力シート!$CM$75</f>
        <v>0</v>
      </c>
      <c r="P84" s="949"/>
      <c r="Q84" s="949"/>
      <c r="R84" s="949">
        <f>入力シート!$CM$76+入力シート!$CM$77</f>
        <v>0</v>
      </c>
      <c r="S84" s="949"/>
      <c r="T84" s="949"/>
      <c r="U84" s="328">
        <f t="shared" si="3"/>
        <v>0</v>
      </c>
      <c r="V84" s="569"/>
      <c r="W84" s="570"/>
      <c r="X84" s="543"/>
      <c r="Y84" s="2"/>
      <c r="Z84" s="1016" t="s">
        <v>838</v>
      </c>
      <c r="AA84" s="1017"/>
      <c r="AB84" s="2"/>
      <c r="AC84" s="2"/>
    </row>
    <row r="85" spans="1:30" customFormat="1" ht="25.5" customHeight="1" x14ac:dyDescent="0.2">
      <c r="A85" s="967"/>
      <c r="B85" s="968"/>
      <c r="C85" s="982" t="s">
        <v>74</v>
      </c>
      <c r="D85" s="983"/>
      <c r="E85" s="129"/>
      <c r="F85" s="953">
        <f>入力シート!$CO$73</f>
        <v>0</v>
      </c>
      <c r="G85" s="954"/>
      <c r="H85" s="954"/>
      <c r="I85" s="954"/>
      <c r="J85" s="954"/>
      <c r="K85" s="955"/>
      <c r="L85" s="949">
        <f>入力シート!$CO$74</f>
        <v>0</v>
      </c>
      <c r="M85" s="949"/>
      <c r="N85" s="949"/>
      <c r="O85" s="949">
        <f>入力シート!$CO$75</f>
        <v>0</v>
      </c>
      <c r="P85" s="949"/>
      <c r="Q85" s="949"/>
      <c r="R85" s="949">
        <f>入力シート!$CO$76+入力シート!$CO$77</f>
        <v>0</v>
      </c>
      <c r="S85" s="949"/>
      <c r="T85" s="949"/>
      <c r="U85" s="328">
        <f t="shared" si="3"/>
        <v>0</v>
      </c>
      <c r="V85" s="569"/>
      <c r="W85" s="570"/>
      <c r="X85" s="543"/>
      <c r="Y85" s="2"/>
      <c r="Z85" s="865">
        <f>SUM(U81:U89)</f>
        <v>0</v>
      </c>
      <c r="AA85" s="866"/>
      <c r="AB85" s="2"/>
      <c r="AC85" s="2"/>
    </row>
    <row r="86" spans="1:30" customFormat="1" ht="25.5" customHeight="1" thickBot="1" x14ac:dyDescent="0.25">
      <c r="A86" s="967"/>
      <c r="B86" s="968"/>
      <c r="C86" s="972" t="s">
        <v>301</v>
      </c>
      <c r="D86" s="973"/>
      <c r="E86" s="15"/>
      <c r="F86" s="953">
        <f>入力シート!$CW$73</f>
        <v>0</v>
      </c>
      <c r="G86" s="954"/>
      <c r="H86" s="954"/>
      <c r="I86" s="954"/>
      <c r="J86" s="954"/>
      <c r="K86" s="955"/>
      <c r="L86" s="956">
        <f>入力シート!$CW$74</f>
        <v>0</v>
      </c>
      <c r="M86" s="956"/>
      <c r="N86" s="956"/>
      <c r="O86" s="956">
        <f>入力シート!$CW$75</f>
        <v>0</v>
      </c>
      <c r="P86" s="956"/>
      <c r="Q86" s="956"/>
      <c r="R86" s="956">
        <f>入力シート!$CW$76+入力シート!$CW$77</f>
        <v>0</v>
      </c>
      <c r="S86" s="956"/>
      <c r="T86" s="956"/>
      <c r="U86" s="328">
        <f t="shared" si="3"/>
        <v>0</v>
      </c>
      <c r="V86" s="569"/>
      <c r="W86" s="570"/>
      <c r="X86" s="543"/>
      <c r="Y86" s="2"/>
      <c r="Z86" s="867"/>
      <c r="AA86" s="868"/>
    </row>
    <row r="87" spans="1:30" customFormat="1" ht="26.25" hidden="1" customHeight="1" thickTop="1" x14ac:dyDescent="0.2">
      <c r="A87" s="967"/>
      <c r="B87" s="968"/>
      <c r="C87" s="986" t="s">
        <v>330</v>
      </c>
      <c r="D87" s="987"/>
      <c r="E87" s="129"/>
      <c r="F87" s="1044"/>
      <c r="G87" s="1045"/>
      <c r="H87" s="1033">
        <f>COUNTIF(入力シート!$CX$12:$CX$71,"AT-OP-12")</f>
        <v>0</v>
      </c>
      <c r="I87" s="1033"/>
      <c r="J87" s="1033"/>
      <c r="K87" s="1033"/>
      <c r="L87" s="1033"/>
      <c r="M87" s="1033"/>
      <c r="N87" s="1033">
        <f>COUNTIF(入力シート!$CX$12:$CX$71,"AT-OP-15")</f>
        <v>0</v>
      </c>
      <c r="O87" s="1033"/>
      <c r="P87" s="1033"/>
      <c r="Q87" s="1033">
        <f>COUNTIF(入力シート!$CX$12:$CX$71,"AT-OP-18")</f>
        <v>0</v>
      </c>
      <c r="R87" s="1033"/>
      <c r="S87" s="1033"/>
      <c r="T87" s="1033">
        <f>COUNTIF(入力シート!$CX$12:$CX$71,"AT-OP-19")</f>
        <v>0</v>
      </c>
      <c r="U87" s="1033"/>
      <c r="V87" s="1033"/>
      <c r="W87" s="1033"/>
      <c r="X87" s="1033"/>
      <c r="Y87" s="1033"/>
      <c r="Z87" s="1034"/>
      <c r="AA87" s="187">
        <f>SUM(H87:Z87)</f>
        <v>0</v>
      </c>
      <c r="AB87" s="2"/>
      <c r="AC87" s="2"/>
      <c r="AD87" s="2"/>
    </row>
    <row r="88" spans="1:30" customFormat="1" ht="23.25" hidden="1" customHeight="1" thickBot="1" x14ac:dyDescent="0.25">
      <c r="A88" s="967"/>
      <c r="B88" s="968"/>
      <c r="C88" s="890" t="s">
        <v>331</v>
      </c>
      <c r="D88" s="891"/>
      <c r="E88" s="149"/>
      <c r="F88" s="1049"/>
      <c r="G88" s="1050"/>
      <c r="H88" s="1031">
        <f>COUNTIF(入力シート!$DF$12:$DF$71,"AP-OP-12")</f>
        <v>0</v>
      </c>
      <c r="I88" s="1031"/>
      <c r="J88" s="1031"/>
      <c r="K88" s="1031"/>
      <c r="L88" s="1031"/>
      <c r="M88" s="1031"/>
      <c r="N88" s="1031">
        <f>COUNTIF(入力シート!$DF$12:$DF$71,"AP-OP-15")</f>
        <v>0</v>
      </c>
      <c r="O88" s="1031"/>
      <c r="P88" s="1031"/>
      <c r="Q88" s="1031">
        <f>COUNTIF(入力シート!$DF$12:$DF$71,"AP-OP-18")</f>
        <v>0</v>
      </c>
      <c r="R88" s="1031"/>
      <c r="S88" s="1031"/>
      <c r="T88" s="1031">
        <f>COUNTIF(入力シート!$DF$12:$DF$71,"AP-OP-19")</f>
        <v>0</v>
      </c>
      <c r="U88" s="1031"/>
      <c r="V88" s="1031"/>
      <c r="W88" s="1031"/>
      <c r="X88" s="1031"/>
      <c r="Y88" s="1031"/>
      <c r="Z88" s="1032"/>
      <c r="AA88" s="188">
        <f>SUM(H88:Z88)</f>
        <v>0</v>
      </c>
      <c r="AB88" s="2"/>
      <c r="AC88" s="2"/>
      <c r="AD88" s="2"/>
    </row>
    <row r="89" spans="1:30" customFormat="1" ht="26.25" hidden="1" customHeight="1" thickBot="1" x14ac:dyDescent="0.25">
      <c r="A89" s="969"/>
      <c r="B89" s="970"/>
      <c r="C89" s="1046" t="s">
        <v>675</v>
      </c>
      <c r="D89" s="1047"/>
      <c r="E89" s="1048"/>
      <c r="F89" s="1051">
        <f>入力シート!$BR$73</f>
        <v>0</v>
      </c>
      <c r="G89" s="1051"/>
      <c r="H89" s="1052"/>
      <c r="I89" s="457"/>
      <c r="J89" s="458"/>
      <c r="K89" s="458"/>
      <c r="L89" s="458"/>
      <c r="M89" s="458"/>
      <c r="N89" s="458"/>
      <c r="O89" s="458"/>
      <c r="P89" s="458"/>
      <c r="Q89" s="458"/>
      <c r="R89" s="458"/>
      <c r="S89" s="458"/>
      <c r="T89" s="458"/>
      <c r="U89" s="458"/>
      <c r="V89" s="495"/>
      <c r="W89" s="495"/>
      <c r="X89" s="563">
        <f>SUM(F89)</f>
        <v>0</v>
      </c>
      <c r="Y89" s="2"/>
      <c r="AA89" s="180"/>
      <c r="AB89" s="1"/>
    </row>
    <row r="90" spans="1:30" customFormat="1" ht="20.100000000000001" customHeight="1" thickTop="1" thickBot="1" x14ac:dyDescent="0.25">
      <c r="A90" s="493"/>
      <c r="B90" s="493"/>
      <c r="C90" s="494"/>
      <c r="D90" s="494"/>
      <c r="E90" s="495"/>
      <c r="F90" s="495"/>
      <c r="G90" s="495"/>
      <c r="H90" s="495"/>
      <c r="I90" s="495"/>
      <c r="J90" s="495"/>
      <c r="K90" s="495"/>
      <c r="L90" s="495"/>
      <c r="M90" s="495"/>
      <c r="N90" s="495"/>
      <c r="O90" s="495"/>
      <c r="P90" s="495"/>
      <c r="Q90" s="495"/>
      <c r="R90" s="495"/>
      <c r="S90" s="495"/>
      <c r="T90" s="495"/>
      <c r="U90" s="495"/>
      <c r="V90" s="571"/>
      <c r="W90" s="571"/>
      <c r="X90" s="571"/>
      <c r="Y90" s="1"/>
      <c r="Z90" s="1"/>
      <c r="AA90" s="2"/>
    </row>
    <row r="91" spans="1:30" customFormat="1" ht="20.25" customHeight="1" x14ac:dyDescent="0.2">
      <c r="E91" s="917" t="s">
        <v>48</v>
      </c>
      <c r="F91" s="947" t="s">
        <v>21</v>
      </c>
      <c r="G91" s="947"/>
      <c r="H91" s="947"/>
      <c r="I91" s="947" t="s">
        <v>22</v>
      </c>
      <c r="J91" s="947"/>
      <c r="K91" s="947"/>
      <c r="L91" s="947" t="s">
        <v>23</v>
      </c>
      <c r="M91" s="947"/>
      <c r="N91" s="947"/>
      <c r="O91" s="947" t="s">
        <v>24</v>
      </c>
      <c r="P91" s="947"/>
      <c r="Q91" s="947"/>
      <c r="R91" s="947" t="s">
        <v>852</v>
      </c>
      <c r="S91" s="947"/>
      <c r="T91" s="947"/>
      <c r="U91" s="1023" t="s">
        <v>853</v>
      </c>
      <c r="V91" s="1024"/>
      <c r="W91" s="1024"/>
      <c r="X91" s="1029" t="s">
        <v>29</v>
      </c>
      <c r="Y91" s="2"/>
      <c r="AA91" s="2"/>
      <c r="AB91" s="2"/>
    </row>
    <row r="92" spans="1:30" customFormat="1" ht="20.25" customHeight="1" thickBot="1" x14ac:dyDescent="0.25">
      <c r="E92" s="918"/>
      <c r="F92" s="948" t="s">
        <v>22</v>
      </c>
      <c r="G92" s="948"/>
      <c r="H92" s="948"/>
      <c r="I92" s="948"/>
      <c r="J92" s="948"/>
      <c r="K92" s="948"/>
      <c r="L92" s="950" t="s">
        <v>23</v>
      </c>
      <c r="M92" s="951"/>
      <c r="N92" s="952"/>
      <c r="O92" s="950" t="s">
        <v>24</v>
      </c>
      <c r="P92" s="951"/>
      <c r="Q92" s="952"/>
      <c r="R92" s="950" t="s">
        <v>854</v>
      </c>
      <c r="S92" s="951"/>
      <c r="T92" s="951"/>
      <c r="U92" s="951"/>
      <c r="V92" s="951"/>
      <c r="W92" s="951"/>
      <c r="X92" s="1030"/>
      <c r="Y92" s="2"/>
      <c r="AA92" s="2"/>
      <c r="AB92" s="2"/>
    </row>
    <row r="93" spans="1:30" customFormat="1" ht="26.25" customHeight="1" thickTop="1" x14ac:dyDescent="0.2">
      <c r="A93" s="965" t="s">
        <v>54</v>
      </c>
      <c r="B93" s="966"/>
      <c r="C93" s="838" t="s">
        <v>16</v>
      </c>
      <c r="D93" s="971"/>
      <c r="E93" s="21" t="s">
        <v>17</v>
      </c>
      <c r="F93" s="949">
        <f>入力シート!$DJ$72</f>
        <v>0</v>
      </c>
      <c r="G93" s="949"/>
      <c r="H93" s="949"/>
      <c r="I93" s="949">
        <f>入力シート!$DJ$73</f>
        <v>0</v>
      </c>
      <c r="J93" s="949"/>
      <c r="K93" s="949"/>
      <c r="L93" s="949">
        <f>入力シート!$DJ$74</f>
        <v>0</v>
      </c>
      <c r="M93" s="949"/>
      <c r="N93" s="949"/>
      <c r="O93" s="949">
        <f>入力シート!$DJ$75</f>
        <v>0</v>
      </c>
      <c r="P93" s="949"/>
      <c r="Q93" s="949"/>
      <c r="R93" s="949">
        <f>入力シート!$DJ$76</f>
        <v>0</v>
      </c>
      <c r="S93" s="949"/>
      <c r="T93" s="949"/>
      <c r="U93" s="949">
        <f>入力シート!$DJ$77</f>
        <v>0</v>
      </c>
      <c r="V93" s="949"/>
      <c r="W93" s="974"/>
      <c r="X93" s="1027">
        <f>SUM(F93:W94)</f>
        <v>0</v>
      </c>
      <c r="Y93" s="2"/>
      <c r="AC93" s="2"/>
    </row>
    <row r="94" spans="1:30" customFormat="1" ht="26.25" customHeight="1" x14ac:dyDescent="0.2">
      <c r="A94" s="967"/>
      <c r="B94" s="968"/>
      <c r="C94" s="990"/>
      <c r="D94" s="991"/>
      <c r="E94" s="21" t="s">
        <v>417</v>
      </c>
      <c r="F94" s="956">
        <f>入力シート!$DJ$78</f>
        <v>0</v>
      </c>
      <c r="G94" s="956"/>
      <c r="H94" s="956"/>
      <c r="I94" s="956"/>
      <c r="J94" s="956"/>
      <c r="K94" s="956"/>
      <c r="L94" s="953">
        <f>入力シート!$DJ$79</f>
        <v>0</v>
      </c>
      <c r="M94" s="954"/>
      <c r="N94" s="955"/>
      <c r="O94" s="953">
        <f>入力シート!$DJ$80</f>
        <v>0</v>
      </c>
      <c r="P94" s="954"/>
      <c r="Q94" s="955"/>
      <c r="R94" s="956">
        <f>入力シート!$DJ$81</f>
        <v>0</v>
      </c>
      <c r="S94" s="956"/>
      <c r="T94" s="956"/>
      <c r="U94" s="956"/>
      <c r="V94" s="956"/>
      <c r="W94" s="953"/>
      <c r="X94" s="1028"/>
      <c r="Y94" s="2"/>
      <c r="AA94" s="2"/>
      <c r="AB94" s="2"/>
      <c r="AC94" s="2"/>
    </row>
    <row r="95" spans="1:30" customFormat="1" ht="26.25" customHeight="1" x14ac:dyDescent="0.2">
      <c r="A95" s="967"/>
      <c r="B95" s="968"/>
      <c r="C95" s="984" t="s">
        <v>298</v>
      </c>
      <c r="D95" s="985"/>
      <c r="E95" s="21" t="s">
        <v>17</v>
      </c>
      <c r="F95" s="956">
        <f>入力シート!$DL$73</f>
        <v>0</v>
      </c>
      <c r="G95" s="956"/>
      <c r="H95" s="956"/>
      <c r="I95" s="956"/>
      <c r="J95" s="956"/>
      <c r="K95" s="956"/>
      <c r="L95" s="949">
        <f>入力シート!$DL$74</f>
        <v>0</v>
      </c>
      <c r="M95" s="949"/>
      <c r="N95" s="949"/>
      <c r="O95" s="949">
        <f>入力シート!$DL$75</f>
        <v>0</v>
      </c>
      <c r="P95" s="949"/>
      <c r="Q95" s="949"/>
      <c r="R95" s="949">
        <f>入力シート!$DL$76</f>
        <v>0</v>
      </c>
      <c r="S95" s="949"/>
      <c r="T95" s="949"/>
      <c r="U95" s="949">
        <f>入力シート!$DL$77</f>
        <v>0</v>
      </c>
      <c r="V95" s="949"/>
      <c r="W95" s="974"/>
      <c r="X95" s="1025">
        <f t="shared" ref="X95" si="4">SUM(F95:W96)</f>
        <v>0</v>
      </c>
      <c r="Y95" s="2"/>
      <c r="AA95" s="2"/>
      <c r="AB95" s="2"/>
      <c r="AC95" s="2"/>
    </row>
    <row r="96" spans="1:30" customFormat="1" ht="26.25" customHeight="1" x14ac:dyDescent="0.2">
      <c r="A96" s="967"/>
      <c r="B96" s="968"/>
      <c r="C96" s="986"/>
      <c r="D96" s="987"/>
      <c r="E96" s="21" t="s">
        <v>417</v>
      </c>
      <c r="F96" s="956">
        <f>入力シート!$DL$78</f>
        <v>0</v>
      </c>
      <c r="G96" s="956"/>
      <c r="H96" s="956"/>
      <c r="I96" s="956"/>
      <c r="J96" s="956"/>
      <c r="K96" s="956"/>
      <c r="L96" s="953">
        <f>入力シート!$DL$79</f>
        <v>0</v>
      </c>
      <c r="M96" s="954"/>
      <c r="N96" s="955"/>
      <c r="O96" s="953">
        <f>入力シート!$DL$80</f>
        <v>0</v>
      </c>
      <c r="P96" s="954"/>
      <c r="Q96" s="955"/>
      <c r="R96" s="956">
        <f>入力シート!$DL$81</f>
        <v>0</v>
      </c>
      <c r="S96" s="956"/>
      <c r="T96" s="956"/>
      <c r="U96" s="956"/>
      <c r="V96" s="956"/>
      <c r="W96" s="953"/>
      <c r="X96" s="1026"/>
      <c r="Y96" s="2"/>
    </row>
    <row r="97" spans="1:29" customFormat="1" ht="26.25" customHeight="1" x14ac:dyDescent="0.2">
      <c r="A97" s="967"/>
      <c r="B97" s="968"/>
      <c r="C97" s="990" t="s">
        <v>302</v>
      </c>
      <c r="D97" s="991"/>
      <c r="E97" s="21" t="s">
        <v>17</v>
      </c>
      <c r="F97" s="956">
        <f>入力シート!$DN$73</f>
        <v>0</v>
      </c>
      <c r="G97" s="956"/>
      <c r="H97" s="956"/>
      <c r="I97" s="956"/>
      <c r="J97" s="956"/>
      <c r="K97" s="956"/>
      <c r="L97" s="949">
        <f>入力シート!$DN$74</f>
        <v>0</v>
      </c>
      <c r="M97" s="949"/>
      <c r="N97" s="949"/>
      <c r="O97" s="949">
        <f>入力シート!$DN$75</f>
        <v>0</v>
      </c>
      <c r="P97" s="949"/>
      <c r="Q97" s="949"/>
      <c r="R97" s="949">
        <f>入力シート!$DN$76</f>
        <v>0</v>
      </c>
      <c r="S97" s="949"/>
      <c r="T97" s="949"/>
      <c r="U97" s="949">
        <f>入力シート!$DN$77</f>
        <v>0</v>
      </c>
      <c r="V97" s="949"/>
      <c r="W97" s="974"/>
      <c r="X97" s="1025">
        <f t="shared" ref="X97" si="5">SUM(F97:W98)</f>
        <v>0</v>
      </c>
      <c r="Y97" s="2"/>
    </row>
    <row r="98" spans="1:29" customFormat="1" ht="26.25" customHeight="1" thickBot="1" x14ac:dyDescent="0.25">
      <c r="A98" s="967"/>
      <c r="B98" s="968"/>
      <c r="C98" s="986"/>
      <c r="D98" s="987"/>
      <c r="E98" s="21" t="s">
        <v>417</v>
      </c>
      <c r="F98" s="956">
        <f>入力シート!$DN$78</f>
        <v>0</v>
      </c>
      <c r="G98" s="956"/>
      <c r="H98" s="956"/>
      <c r="I98" s="956"/>
      <c r="J98" s="956"/>
      <c r="K98" s="956"/>
      <c r="L98" s="953">
        <f>入力シート!$DN$79</f>
        <v>0</v>
      </c>
      <c r="M98" s="954"/>
      <c r="N98" s="955"/>
      <c r="O98" s="953">
        <f>入力シート!$DN$80</f>
        <v>0</v>
      </c>
      <c r="P98" s="954"/>
      <c r="Q98" s="955"/>
      <c r="R98" s="956">
        <f>入力シート!$DN$81</f>
        <v>0</v>
      </c>
      <c r="S98" s="956"/>
      <c r="T98" s="956"/>
      <c r="U98" s="956"/>
      <c r="V98" s="956"/>
      <c r="W98" s="953"/>
      <c r="X98" s="1026"/>
      <c r="Y98" s="2"/>
    </row>
    <row r="99" spans="1:29" customFormat="1" ht="26.25" customHeight="1" thickTop="1" x14ac:dyDescent="0.2">
      <c r="A99" s="967"/>
      <c r="B99" s="968"/>
      <c r="C99" s="986" t="s">
        <v>300</v>
      </c>
      <c r="D99" s="987"/>
      <c r="E99" s="15"/>
      <c r="F99" s="956">
        <f>入力シート!$DQ$73</f>
        <v>0</v>
      </c>
      <c r="G99" s="956"/>
      <c r="H99" s="956"/>
      <c r="I99" s="956"/>
      <c r="J99" s="956"/>
      <c r="K99" s="956"/>
      <c r="L99" s="949">
        <f>入力シート!$DQ$74</f>
        <v>0</v>
      </c>
      <c r="M99" s="949"/>
      <c r="N99" s="949"/>
      <c r="O99" s="949">
        <f>入力シート!$DQ$75</f>
        <v>0</v>
      </c>
      <c r="P99" s="949"/>
      <c r="Q99" s="949"/>
      <c r="R99" s="949">
        <f>入力シート!$DQ$76</f>
        <v>0</v>
      </c>
      <c r="S99" s="949"/>
      <c r="T99" s="949"/>
      <c r="U99" s="949">
        <f>入力シート!$DQ$77</f>
        <v>0</v>
      </c>
      <c r="V99" s="949"/>
      <c r="W99" s="974"/>
      <c r="X99" s="328">
        <f>SUM(F99:W99)</f>
        <v>0</v>
      </c>
      <c r="Y99" s="2"/>
      <c r="Z99" s="863" t="s">
        <v>60</v>
      </c>
      <c r="AA99" s="864"/>
    </row>
    <row r="100" spans="1:29" customFormat="1" ht="26.25" customHeight="1" x14ac:dyDescent="0.2">
      <c r="A100" s="967"/>
      <c r="B100" s="968"/>
      <c r="C100" s="982" t="s">
        <v>299</v>
      </c>
      <c r="D100" s="983"/>
      <c r="E100" s="15"/>
      <c r="F100" s="956">
        <f>入力シート!$DS$73</f>
        <v>0</v>
      </c>
      <c r="G100" s="956"/>
      <c r="H100" s="956"/>
      <c r="I100" s="956"/>
      <c r="J100" s="956"/>
      <c r="K100" s="956"/>
      <c r="L100" s="956">
        <f>入力シート!$DS$74</f>
        <v>0</v>
      </c>
      <c r="M100" s="956"/>
      <c r="N100" s="956"/>
      <c r="O100" s="956">
        <f>入力シート!$DS$75</f>
        <v>0</v>
      </c>
      <c r="P100" s="956"/>
      <c r="Q100" s="956"/>
      <c r="R100" s="956">
        <f>入力シート!$DS$76</f>
        <v>0</v>
      </c>
      <c r="S100" s="956"/>
      <c r="T100" s="956"/>
      <c r="U100" s="956">
        <f>入力シート!$DS$77</f>
        <v>0</v>
      </c>
      <c r="V100" s="956"/>
      <c r="W100" s="953"/>
      <c r="X100" s="328">
        <f>SUM(F100:W100)</f>
        <v>0</v>
      </c>
      <c r="Y100" s="2"/>
      <c r="Z100" s="865">
        <f>SUM(X93:X101)</f>
        <v>0</v>
      </c>
      <c r="AA100" s="866"/>
    </row>
    <row r="101" spans="1:29" customFormat="1" ht="26.25" customHeight="1" thickBot="1" x14ac:dyDescent="0.25">
      <c r="A101" s="969"/>
      <c r="B101" s="970"/>
      <c r="C101" s="992" t="s">
        <v>301</v>
      </c>
      <c r="D101" s="993"/>
      <c r="E101" s="16"/>
      <c r="F101" s="945">
        <f>入力シート!$EA$73</f>
        <v>0</v>
      </c>
      <c r="G101" s="945"/>
      <c r="H101" s="945"/>
      <c r="I101" s="945"/>
      <c r="J101" s="945"/>
      <c r="K101" s="945"/>
      <c r="L101" s="946">
        <f>入力シート!$EA$74</f>
        <v>0</v>
      </c>
      <c r="M101" s="946"/>
      <c r="N101" s="946"/>
      <c r="O101" s="946">
        <f>入力シート!$EA$75</f>
        <v>0</v>
      </c>
      <c r="P101" s="946"/>
      <c r="Q101" s="946"/>
      <c r="R101" s="946">
        <f>入力シート!$EA$76</f>
        <v>0</v>
      </c>
      <c r="S101" s="946"/>
      <c r="T101" s="946"/>
      <c r="U101" s="946">
        <f>入力シート!$EA$77</f>
        <v>0</v>
      </c>
      <c r="V101" s="946"/>
      <c r="W101" s="1061"/>
      <c r="X101" s="313">
        <f>SUM(F101:W101)</f>
        <v>0</v>
      </c>
      <c r="Y101" s="2"/>
      <c r="Z101" s="867"/>
      <c r="AA101" s="868"/>
    </row>
    <row r="102" spans="1:29" customFormat="1" ht="20.100000000000001" customHeight="1" thickBot="1" x14ac:dyDescent="0.25">
      <c r="A102" s="11"/>
      <c r="B102" s="1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2"/>
    </row>
    <row r="103" spans="1:29" customFormat="1" ht="20.25" customHeight="1" thickBot="1" x14ac:dyDescent="0.25">
      <c r="E103" s="917" t="s">
        <v>48</v>
      </c>
      <c r="F103" s="882"/>
      <c r="G103" s="883"/>
      <c r="H103" s="883"/>
      <c r="I103" s="883"/>
      <c r="J103" s="883"/>
      <c r="K103" s="884"/>
      <c r="L103" s="902" t="s">
        <v>731</v>
      </c>
      <c r="M103" s="903"/>
      <c r="N103" s="903"/>
      <c r="O103" s="903"/>
      <c r="P103" s="903"/>
      <c r="Q103" s="904"/>
      <c r="R103" s="902" t="s">
        <v>732</v>
      </c>
      <c r="S103" s="903"/>
      <c r="T103" s="903"/>
      <c r="U103" s="903"/>
      <c r="V103" s="903"/>
      <c r="W103" s="994"/>
      <c r="X103" s="1029" t="s">
        <v>29</v>
      </c>
      <c r="Y103" s="2"/>
      <c r="AA103" s="2"/>
      <c r="AB103" s="2"/>
    </row>
    <row r="104" spans="1:29" customFormat="1" ht="26.25" customHeight="1" thickTop="1" thickBot="1" x14ac:dyDescent="0.25">
      <c r="E104" s="918"/>
      <c r="F104" s="885"/>
      <c r="G104" s="886"/>
      <c r="H104" s="886"/>
      <c r="I104" s="886"/>
      <c r="J104" s="886"/>
      <c r="K104" s="887"/>
      <c r="L104" s="948" t="s">
        <v>483</v>
      </c>
      <c r="M104" s="948"/>
      <c r="N104" s="948"/>
      <c r="O104" s="948"/>
      <c r="P104" s="948"/>
      <c r="Q104" s="948"/>
      <c r="R104" s="950" t="s">
        <v>484</v>
      </c>
      <c r="S104" s="951"/>
      <c r="T104" s="951"/>
      <c r="U104" s="951"/>
      <c r="V104" s="951"/>
      <c r="W104" s="951"/>
      <c r="X104" s="1030"/>
      <c r="Y104" s="2"/>
      <c r="Z104" s="863" t="s">
        <v>686</v>
      </c>
      <c r="AA104" s="864"/>
      <c r="AB104" s="2"/>
    </row>
    <row r="105" spans="1:29" customFormat="1" ht="26.25" customHeight="1" thickTop="1" x14ac:dyDescent="0.2">
      <c r="A105" s="878" t="s">
        <v>683</v>
      </c>
      <c r="B105" s="879"/>
      <c r="C105" s="888" t="s">
        <v>684</v>
      </c>
      <c r="D105" s="889"/>
      <c r="E105" s="15"/>
      <c r="F105" s="896"/>
      <c r="G105" s="897"/>
      <c r="H105" s="897"/>
      <c r="I105" s="897"/>
      <c r="J105" s="897"/>
      <c r="K105" s="898"/>
      <c r="L105" s="892">
        <f>入力シート!$ED$74</f>
        <v>0</v>
      </c>
      <c r="M105" s="893"/>
      <c r="N105" s="893"/>
      <c r="O105" s="893"/>
      <c r="P105" s="893"/>
      <c r="Q105" s="894"/>
      <c r="R105" s="892">
        <f>入力シート!$ED$76</f>
        <v>0</v>
      </c>
      <c r="S105" s="893"/>
      <c r="T105" s="893"/>
      <c r="U105" s="893"/>
      <c r="V105" s="893"/>
      <c r="W105" s="895"/>
      <c r="X105" s="541">
        <f>SUM(L105:W105)</f>
        <v>0</v>
      </c>
      <c r="Y105" s="2"/>
      <c r="Z105" s="865">
        <f>SUM(X105:X106)</f>
        <v>0</v>
      </c>
      <c r="AA105" s="866"/>
      <c r="AC105" s="2"/>
    </row>
    <row r="106" spans="1:29" customFormat="1" ht="26.25" customHeight="1" thickBot="1" x14ac:dyDescent="0.25">
      <c r="A106" s="880"/>
      <c r="B106" s="881"/>
      <c r="C106" s="890" t="s">
        <v>685</v>
      </c>
      <c r="D106" s="891"/>
      <c r="E106" s="16"/>
      <c r="F106" s="899"/>
      <c r="G106" s="900"/>
      <c r="H106" s="900"/>
      <c r="I106" s="900"/>
      <c r="J106" s="900"/>
      <c r="K106" s="901"/>
      <c r="L106" s="1062">
        <f>団体情報・入力の仕方!$R$33</f>
        <v>0</v>
      </c>
      <c r="M106" s="1063"/>
      <c r="N106" s="1063"/>
      <c r="O106" s="1063"/>
      <c r="P106" s="1063"/>
      <c r="Q106" s="1064"/>
      <c r="R106" s="1062">
        <f>団体情報・入力の仕方!$R$34</f>
        <v>0</v>
      </c>
      <c r="S106" s="1063"/>
      <c r="T106" s="1063"/>
      <c r="U106" s="1063"/>
      <c r="V106" s="1063"/>
      <c r="W106" s="1065"/>
      <c r="X106" s="496">
        <f>SUM(L106:W106)</f>
        <v>0</v>
      </c>
      <c r="Y106" s="2"/>
      <c r="Z106" s="867"/>
      <c r="AA106" s="868"/>
      <c r="AB106" s="2"/>
      <c r="AC106" s="2"/>
    </row>
    <row r="107" spans="1:29" customFormat="1" ht="12" customHeight="1" thickBot="1" x14ac:dyDescent="0.25">
      <c r="C107" s="1"/>
      <c r="D107" s="1"/>
      <c r="E107" s="1"/>
    </row>
    <row r="108" spans="1:29" customFormat="1" ht="20.25" customHeight="1" x14ac:dyDescent="0.2">
      <c r="E108" s="917" t="s">
        <v>48</v>
      </c>
      <c r="F108" s="882"/>
      <c r="G108" s="883"/>
      <c r="H108" s="883"/>
      <c r="I108" s="883"/>
      <c r="J108" s="883"/>
      <c r="K108" s="884"/>
      <c r="L108" s="902" t="s">
        <v>731</v>
      </c>
      <c r="M108" s="903"/>
      <c r="N108" s="903"/>
      <c r="O108" s="903"/>
      <c r="P108" s="903"/>
      <c r="Q108" s="904"/>
      <c r="R108" s="902" t="s">
        <v>732</v>
      </c>
      <c r="S108" s="903"/>
      <c r="T108" s="903"/>
      <c r="U108" s="903"/>
      <c r="V108" s="903"/>
      <c r="W108" s="994"/>
      <c r="X108" s="1029" t="s">
        <v>29</v>
      </c>
      <c r="Y108" s="2"/>
      <c r="AA108" s="2"/>
      <c r="AB108" s="2"/>
    </row>
    <row r="109" spans="1:29" customFormat="1" ht="26.25" customHeight="1" thickBot="1" x14ac:dyDescent="0.25">
      <c r="E109" s="918"/>
      <c r="F109" s="885"/>
      <c r="G109" s="886"/>
      <c r="H109" s="886"/>
      <c r="I109" s="886"/>
      <c r="J109" s="886"/>
      <c r="K109" s="887"/>
      <c r="L109" s="948" t="s">
        <v>483</v>
      </c>
      <c r="M109" s="948"/>
      <c r="N109" s="948"/>
      <c r="O109" s="948"/>
      <c r="P109" s="948"/>
      <c r="Q109" s="948"/>
      <c r="R109" s="950" t="s">
        <v>484</v>
      </c>
      <c r="S109" s="951"/>
      <c r="T109" s="951"/>
      <c r="U109" s="951"/>
      <c r="V109" s="951"/>
      <c r="W109" s="951"/>
      <c r="X109" s="1030"/>
      <c r="Y109" s="2"/>
      <c r="Z109" s="1081"/>
      <c r="AA109" s="1081"/>
      <c r="AB109" s="2"/>
    </row>
    <row r="110" spans="1:29" customFormat="1" ht="26.25" customHeight="1" thickTop="1" thickBot="1" x14ac:dyDescent="0.25">
      <c r="A110" s="878" t="s">
        <v>891</v>
      </c>
      <c r="B110" s="922"/>
      <c r="C110" s="922"/>
      <c r="D110" s="879"/>
      <c r="E110" s="545" t="s">
        <v>524</v>
      </c>
      <c r="F110" s="896"/>
      <c r="G110" s="897"/>
      <c r="H110" s="897"/>
      <c r="I110" s="897"/>
      <c r="J110" s="897"/>
      <c r="K110" s="898"/>
      <c r="L110" s="892">
        <f>団体情報・入力の仕方!V41</f>
        <v>0</v>
      </c>
      <c r="M110" s="893"/>
      <c r="N110" s="893"/>
      <c r="O110" s="893"/>
      <c r="P110" s="893"/>
      <c r="Q110" s="894"/>
      <c r="R110" s="892">
        <f>団体情報・入力の仕方!W41</f>
        <v>0</v>
      </c>
      <c r="S110" s="893"/>
      <c r="T110" s="893"/>
      <c r="U110" s="893"/>
      <c r="V110" s="893"/>
      <c r="W110" s="895"/>
      <c r="X110" s="541">
        <f>SUM(L110:W110)</f>
        <v>0</v>
      </c>
      <c r="Y110" s="2"/>
      <c r="Z110" s="544"/>
      <c r="AA110" s="544"/>
      <c r="AC110" s="2"/>
    </row>
    <row r="111" spans="1:29" customFormat="1" ht="26.25" customHeight="1" thickTop="1" x14ac:dyDescent="0.2">
      <c r="A111" s="923"/>
      <c r="B111" s="924"/>
      <c r="C111" s="924"/>
      <c r="D111" s="925"/>
      <c r="E111" s="14" t="s">
        <v>526</v>
      </c>
      <c r="F111" s="1082"/>
      <c r="G111" s="1083"/>
      <c r="H111" s="1083"/>
      <c r="I111" s="1083"/>
      <c r="J111" s="1083"/>
      <c r="K111" s="1084"/>
      <c r="L111" s="953">
        <f>団体情報・入力の仕方!V42</f>
        <v>0</v>
      </c>
      <c r="M111" s="954"/>
      <c r="N111" s="954"/>
      <c r="O111" s="954"/>
      <c r="P111" s="954"/>
      <c r="Q111" s="955"/>
      <c r="R111" s="953">
        <f>団体情報・入力の仕方!W42</f>
        <v>0</v>
      </c>
      <c r="S111" s="954"/>
      <c r="T111" s="954"/>
      <c r="U111" s="954"/>
      <c r="V111" s="954"/>
      <c r="W111" s="1085"/>
      <c r="X111" s="328">
        <f>SUM(L111:W111)</f>
        <v>0</v>
      </c>
      <c r="Y111" s="2"/>
      <c r="Z111" s="1077" t="s">
        <v>892</v>
      </c>
      <c r="AA111" s="1078"/>
      <c r="AB111" s="2"/>
      <c r="AC111" s="2"/>
    </row>
    <row r="112" spans="1:29" customFormat="1" ht="26.25" customHeight="1" x14ac:dyDescent="0.2">
      <c r="A112" s="923"/>
      <c r="B112" s="924"/>
      <c r="C112" s="924"/>
      <c r="D112" s="925"/>
      <c r="E112" s="14" t="s">
        <v>528</v>
      </c>
      <c r="F112" s="1082"/>
      <c r="G112" s="1083"/>
      <c r="H112" s="1083"/>
      <c r="I112" s="1083"/>
      <c r="J112" s="1083"/>
      <c r="K112" s="1084"/>
      <c r="L112" s="953">
        <f>団体情報・入力の仕方!V43</f>
        <v>0</v>
      </c>
      <c r="M112" s="954"/>
      <c r="N112" s="954"/>
      <c r="O112" s="954"/>
      <c r="P112" s="954"/>
      <c r="Q112" s="955"/>
      <c r="R112" s="953">
        <f>団体情報・入力の仕方!W43</f>
        <v>0</v>
      </c>
      <c r="S112" s="954"/>
      <c r="T112" s="954"/>
      <c r="U112" s="954"/>
      <c r="V112" s="954"/>
      <c r="W112" s="1085"/>
      <c r="X112" s="328">
        <f>SUM(L112:W112)</f>
        <v>0</v>
      </c>
      <c r="Y112" s="2"/>
      <c r="Z112" s="1079"/>
      <c r="AA112" s="1080"/>
      <c r="AB112" s="2"/>
      <c r="AC112" s="2"/>
    </row>
    <row r="113" spans="1:30" customFormat="1" ht="26.25" customHeight="1" x14ac:dyDescent="0.2">
      <c r="A113" s="923"/>
      <c r="B113" s="924"/>
      <c r="C113" s="924"/>
      <c r="D113" s="925"/>
      <c r="E113" s="14" t="s">
        <v>529</v>
      </c>
      <c r="F113" s="927"/>
      <c r="G113" s="928"/>
      <c r="H113" s="928"/>
      <c r="I113" s="928"/>
      <c r="J113" s="928"/>
      <c r="K113" s="929"/>
      <c r="L113" s="930">
        <f>団体情報・入力の仕方!V44</f>
        <v>0</v>
      </c>
      <c r="M113" s="931"/>
      <c r="N113" s="931"/>
      <c r="O113" s="931"/>
      <c r="P113" s="931"/>
      <c r="Q113" s="932"/>
      <c r="R113" s="930">
        <f>団体情報・入力の仕方!W44</f>
        <v>0</v>
      </c>
      <c r="S113" s="931"/>
      <c r="T113" s="931"/>
      <c r="U113" s="931"/>
      <c r="V113" s="931"/>
      <c r="W113" s="1076"/>
      <c r="X113" s="546">
        <f>SUM(L113:W113)</f>
        <v>0</v>
      </c>
      <c r="Y113" s="2"/>
      <c r="Z113" s="865">
        <f>SUM(X110:X114)</f>
        <v>0</v>
      </c>
      <c r="AA113" s="866"/>
      <c r="AC113" s="2"/>
    </row>
    <row r="114" spans="1:30" customFormat="1" ht="26.25" customHeight="1" thickBot="1" x14ac:dyDescent="0.25">
      <c r="A114" s="880"/>
      <c r="B114" s="926"/>
      <c r="C114" s="926"/>
      <c r="D114" s="881"/>
      <c r="E114" s="58" t="s">
        <v>883</v>
      </c>
      <c r="F114" s="899"/>
      <c r="G114" s="900"/>
      <c r="H114" s="900"/>
      <c r="I114" s="900"/>
      <c r="J114" s="900"/>
      <c r="K114" s="901"/>
      <c r="L114" s="1062">
        <f>団体情報・入力の仕方!V45</f>
        <v>0</v>
      </c>
      <c r="M114" s="1063"/>
      <c r="N114" s="1063"/>
      <c r="O114" s="1063"/>
      <c r="P114" s="1063"/>
      <c r="Q114" s="1064"/>
      <c r="R114" s="1062">
        <f>団体情報・入力の仕方!W45</f>
        <v>0</v>
      </c>
      <c r="S114" s="1063"/>
      <c r="T114" s="1063"/>
      <c r="U114" s="1063"/>
      <c r="V114" s="1063"/>
      <c r="W114" s="1065"/>
      <c r="X114" s="313">
        <f>SUM(L114:W114)</f>
        <v>0</v>
      </c>
      <c r="Y114" s="2"/>
      <c r="Z114" s="867"/>
      <c r="AA114" s="868"/>
      <c r="AB114" s="2"/>
      <c r="AC114" s="2"/>
    </row>
    <row r="115" spans="1:30" customFormat="1" ht="26.25" customHeight="1" thickBot="1" x14ac:dyDescent="0.25">
      <c r="A115" s="542"/>
      <c r="B115" s="542"/>
      <c r="C115" s="542"/>
      <c r="D115" s="542"/>
      <c r="E115" s="1"/>
      <c r="F115" s="543"/>
      <c r="G115" s="543"/>
      <c r="H115" s="543"/>
      <c r="I115" s="543"/>
      <c r="J115" s="543"/>
      <c r="K115" s="543"/>
      <c r="L115" s="543"/>
      <c r="M115" s="543"/>
      <c r="N115" s="543"/>
      <c r="O115" s="543"/>
      <c r="P115" s="543"/>
      <c r="Q115" s="543"/>
      <c r="R115" s="543"/>
      <c r="S115" s="543"/>
      <c r="T115" s="543"/>
      <c r="U115" s="543"/>
      <c r="V115" s="543"/>
      <c r="W115" s="543"/>
      <c r="X115" s="543"/>
      <c r="Y115" s="2"/>
      <c r="Z115" s="524"/>
      <c r="AA115" s="524"/>
      <c r="AB115" s="2"/>
      <c r="AC115" s="2"/>
    </row>
    <row r="116" spans="1:30" customFormat="1" ht="23.25" customHeight="1" x14ac:dyDescent="0.2">
      <c r="E116" s="1"/>
      <c r="I116" s="909" t="s">
        <v>55</v>
      </c>
      <c r="J116" s="910"/>
      <c r="K116" s="911">
        <f>SUM(Z85,Z100,Z11,Z24,Z58,Z37,Z105,Z113)</f>
        <v>0</v>
      </c>
      <c r="L116" s="912"/>
      <c r="N116" s="909" t="s">
        <v>55</v>
      </c>
      <c r="O116" s="910"/>
      <c r="P116" s="916">
        <f>入力シート!$FC$9+マスターズ用入力シート!$EW$9+団体情報・入力の仕方!P38+団体情報・入力の仕方!P46</f>
        <v>0</v>
      </c>
      <c r="Q116" s="912"/>
      <c r="S116" s="905" t="s">
        <v>33</v>
      </c>
      <c r="T116" s="906"/>
      <c r="U116" s="911" t="e" cm="1">
        <f t="array" ref="U116">IF(マスターズ用入力シート!$D$75=0,LOOKUP(1,0/(入力シート!$B$12:$B$71&lt;&gt;""),入力シート!$B$12:$B$71),IF(入力シート!$D$75=0,LOOKUP(1,0/(マスターズ用入力シート!$B$12:$B$71&lt;&gt;""),マスターズ用入力シート!$B$12:$B$71),(LOOKUP(1,0/(入力シート!$B$12:$B$71&lt;&gt;""),入力シート!$B$12:$B$71)+LOOKUP(1,0/(マスターズ用入力シート!$B$12:$B$71&lt;&gt;""),マスターズ用入力シート!$B$12:$B$71))))</f>
        <v>#N/A</v>
      </c>
      <c r="V116" s="919"/>
      <c r="W116" s="2"/>
      <c r="X116" s="2"/>
      <c r="Z116" s="2"/>
      <c r="AA116" s="2"/>
    </row>
    <row r="117" spans="1:30" customFormat="1" ht="23.25" customHeight="1" thickBot="1" x14ac:dyDescent="0.25">
      <c r="E117" s="1"/>
      <c r="I117" s="915" t="s">
        <v>56</v>
      </c>
      <c r="J117" s="908"/>
      <c r="K117" s="913"/>
      <c r="L117" s="914"/>
      <c r="N117" s="907" t="s">
        <v>57</v>
      </c>
      <c r="O117" s="908"/>
      <c r="P117" s="913"/>
      <c r="Q117" s="914"/>
      <c r="S117" s="907"/>
      <c r="T117" s="908"/>
      <c r="U117" s="920"/>
      <c r="V117" s="921"/>
      <c r="W117" s="2"/>
      <c r="X117" s="2"/>
      <c r="Z117" s="2"/>
      <c r="AA117" s="2"/>
    </row>
    <row r="118" spans="1:30" ht="27" customHeight="1" thickBot="1" x14ac:dyDescent="0.3">
      <c r="C118" s="4"/>
      <c r="D118" s="4"/>
      <c r="E118" s="4"/>
      <c r="H118" s="5"/>
      <c r="I118" s="2"/>
      <c r="J118" s="2"/>
      <c r="M118" s="2"/>
      <c r="N118" s="2"/>
      <c r="O118" s="2"/>
      <c r="P118" s="2"/>
      <c r="Q118" s="2"/>
      <c r="R118" s="3"/>
    </row>
    <row r="119" spans="1:30" ht="27" customHeight="1" thickBot="1" x14ac:dyDescent="0.35">
      <c r="C119" s="1068" t="str">
        <f>"２０２５年度東京都バトン協会バトントワーリングコンテスト"&amp;団体情報・入力の仕方!$C$3</f>
        <v>２０２５年度東京都バトン協会バトントワーリングコンテスト</v>
      </c>
      <c r="D119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E119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F119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G119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H119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I119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J119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K119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L119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M119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N119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O119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P119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Q119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R119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S119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T119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U119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V119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W119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X119" s="1070" t="str">
        <f>"２０２２年度東京都バトン協会バトントワーリングコンテスト"&amp;団体情報・入力の仕方!$C$3</f>
        <v>２０２２年度東京都バトン協会バトントワーリングコンテスト</v>
      </c>
      <c r="Z119" s="1042" t="s">
        <v>599</v>
      </c>
      <c r="AA119" s="1043"/>
      <c r="AB119" s="1018">
        <f>団体情報・入力の仕方!$G$4</f>
        <v>0</v>
      </c>
      <c r="AC119" s="1019"/>
      <c r="AD119" s="1020"/>
    </row>
    <row r="120" spans="1:30" ht="16.5" customHeight="1" x14ac:dyDescent="0.35">
      <c r="I120" s="7"/>
      <c r="J120" s="7"/>
      <c r="K120" s="7"/>
      <c r="L120" s="7"/>
      <c r="M120" s="7"/>
      <c r="N120" s="6"/>
      <c r="O120" s="197"/>
      <c r="P120" s="197"/>
      <c r="Q120" s="8"/>
      <c r="R120" s="8"/>
      <c r="S120" s="8"/>
    </row>
    <row r="121" spans="1:30" ht="24" customHeight="1" thickBot="1" x14ac:dyDescent="0.25">
      <c r="A121" s="2"/>
      <c r="B121" s="2"/>
      <c r="C121" s="875" t="s">
        <v>492</v>
      </c>
      <c r="D121" s="875"/>
      <c r="E121" s="1066">
        <f>団体情報・入力の仕方!$C$5</f>
        <v>0</v>
      </c>
      <c r="F121" s="1066"/>
      <c r="G121" s="1066"/>
      <c r="H121" s="1066"/>
      <c r="I121" s="1066"/>
      <c r="J121" s="1066"/>
      <c r="K121" s="1066"/>
      <c r="L121" s="1066"/>
      <c r="M121" s="1066"/>
      <c r="N121" s="1066"/>
      <c r="O121" s="1066"/>
      <c r="P121" s="875" t="s">
        <v>493</v>
      </c>
      <c r="Q121" s="875"/>
      <c r="R121" s="875"/>
      <c r="S121" s="875"/>
      <c r="T121" s="875">
        <f>団体情報・入力の仕方!$L$5</f>
        <v>0</v>
      </c>
      <c r="U121" s="875"/>
      <c r="V121" s="875"/>
      <c r="W121" s="409" t="s">
        <v>494</v>
      </c>
      <c r="X121" s="875">
        <f>団体情報・入力の仕方!$C$4</f>
        <v>0</v>
      </c>
      <c r="Y121" s="875"/>
      <c r="Z121" s="875"/>
    </row>
    <row r="122" spans="1:30" ht="12.75" customHeight="1" x14ac:dyDescent="0.2">
      <c r="A122" s="2"/>
      <c r="B122" s="2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101"/>
      <c r="U122" s="101"/>
      <c r="V122" s="101"/>
      <c r="W122" s="101"/>
      <c r="X122" s="101"/>
      <c r="Y122" s="101"/>
      <c r="Z122" s="101"/>
    </row>
    <row r="123" spans="1:30" ht="24" customHeight="1" thickBot="1" x14ac:dyDescent="0.25">
      <c r="A123" s="2"/>
      <c r="B123" s="2"/>
      <c r="C123" s="875" t="s">
        <v>495</v>
      </c>
      <c r="D123" s="875"/>
      <c r="E123" s="875" t="str">
        <f>"〒　"&amp;団体情報・入力の仕方!$C$6&amp;"　"&amp;団体情報・入力の仕方!$H$6</f>
        <v>〒　　</v>
      </c>
      <c r="F123" s="875"/>
      <c r="G123" s="875"/>
      <c r="H123" s="875"/>
      <c r="I123" s="875"/>
      <c r="J123" s="875"/>
      <c r="K123" s="875"/>
      <c r="L123" s="875"/>
      <c r="M123" s="875"/>
      <c r="N123" s="875"/>
      <c r="O123" s="875"/>
      <c r="P123" s="875"/>
      <c r="Q123" s="875"/>
      <c r="R123" s="875"/>
      <c r="S123" s="875"/>
      <c r="T123" s="875"/>
      <c r="U123" s="875"/>
      <c r="V123" s="875"/>
      <c r="W123" s="875"/>
      <c r="X123" s="875"/>
      <c r="Y123" s="875"/>
      <c r="Z123" s="875"/>
    </row>
    <row r="124" spans="1:30" ht="12.75" customHeight="1" x14ac:dyDescent="0.2">
      <c r="A124" s="2"/>
      <c r="B124" s="2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101"/>
      <c r="U124" s="101"/>
      <c r="V124" s="101"/>
      <c r="W124" s="101"/>
      <c r="X124" s="101"/>
      <c r="Y124" s="101"/>
      <c r="Z124" s="101"/>
    </row>
    <row r="125" spans="1:30" ht="24" customHeight="1" thickBot="1" x14ac:dyDescent="0.25">
      <c r="A125" s="2"/>
      <c r="B125" s="2"/>
      <c r="C125" s="875" t="s">
        <v>496</v>
      </c>
      <c r="D125" s="875"/>
      <c r="E125" s="875">
        <f>団体情報・入力の仕方!$C$7</f>
        <v>0</v>
      </c>
      <c r="F125" s="875"/>
      <c r="G125" s="875"/>
      <c r="H125" s="875"/>
      <c r="I125" s="875"/>
      <c r="J125" s="875"/>
      <c r="K125" s="453"/>
      <c r="L125" s="453"/>
      <c r="M125" s="453"/>
      <c r="N125" s="453"/>
      <c r="O125" s="453"/>
      <c r="P125" s="875" t="s">
        <v>497</v>
      </c>
      <c r="Q125" s="875"/>
      <c r="R125" s="875"/>
      <c r="S125" s="875">
        <f>団体情報・入力の仕方!$J$7</f>
        <v>0</v>
      </c>
      <c r="T125" s="875"/>
      <c r="U125" s="875"/>
      <c r="V125" s="875"/>
      <c r="W125" s="875"/>
      <c r="X125" s="453"/>
      <c r="Y125" s="453"/>
      <c r="Z125" s="453"/>
    </row>
    <row r="126" spans="1:30" ht="10.5" customHeight="1" x14ac:dyDescent="0.2">
      <c r="A126" s="2"/>
      <c r="B126" s="2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101"/>
      <c r="R126" s="101"/>
      <c r="S126" s="101"/>
      <c r="T126" s="101"/>
      <c r="U126" s="101"/>
      <c r="V126" s="101"/>
      <c r="W126" s="101"/>
      <c r="X126" s="101"/>
      <c r="Y126" s="101"/>
      <c r="Z126" s="101"/>
    </row>
    <row r="127" spans="1:30" ht="24" customHeight="1" thickBot="1" x14ac:dyDescent="0.25">
      <c r="A127" s="2"/>
      <c r="B127" s="2"/>
      <c r="C127" s="875" t="s">
        <v>498</v>
      </c>
      <c r="D127" s="875"/>
      <c r="E127" s="875"/>
      <c r="F127" s="875"/>
      <c r="G127" s="875">
        <f>団体情報・入力の仕方!$C$8</f>
        <v>0</v>
      </c>
      <c r="H127" s="875"/>
      <c r="I127" s="875"/>
      <c r="J127" s="875"/>
      <c r="K127" s="875"/>
      <c r="L127" s="875"/>
      <c r="M127" s="875" t="s">
        <v>499</v>
      </c>
      <c r="N127" s="875"/>
      <c r="O127" s="875"/>
      <c r="P127" s="875"/>
      <c r="Q127" s="875"/>
      <c r="R127" s="1067">
        <f>団体情報・入力の仕方!$J$8</f>
        <v>0</v>
      </c>
      <c r="S127" s="1067"/>
      <c r="T127" s="1067"/>
      <c r="U127" s="1067"/>
      <c r="V127" s="1067"/>
      <c r="W127" s="453"/>
      <c r="X127" s="453"/>
      <c r="Y127" s="453"/>
      <c r="Z127" s="453"/>
    </row>
    <row r="128" spans="1:30" ht="10.5" customHeight="1" x14ac:dyDescent="0.2">
      <c r="A128" s="2"/>
      <c r="B128" s="2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101"/>
      <c r="U128" s="101"/>
      <c r="V128" s="101"/>
      <c r="W128" s="101"/>
      <c r="X128" s="101"/>
      <c r="Y128" s="101"/>
      <c r="Z128" s="101"/>
    </row>
    <row r="129" spans="1:31" ht="24" customHeight="1" thickBot="1" x14ac:dyDescent="0.25">
      <c r="A129" s="2"/>
      <c r="B129" s="2"/>
      <c r="C129" s="875" t="s">
        <v>500</v>
      </c>
      <c r="D129" s="875"/>
      <c r="E129" s="875"/>
      <c r="F129" s="875"/>
      <c r="G129" s="1066">
        <f>団体情報・入力の仕方!$C$9</f>
        <v>0</v>
      </c>
      <c r="H129" s="1066"/>
      <c r="I129" s="1066"/>
      <c r="J129" s="1066"/>
      <c r="K129" s="1066"/>
      <c r="L129" s="1066"/>
      <c r="M129" s="1066"/>
      <c r="N129" s="1066"/>
      <c r="O129" s="1066"/>
      <c r="P129" s="1066"/>
      <c r="Q129" s="1066"/>
      <c r="R129" s="1066"/>
      <c r="S129" s="1066"/>
      <c r="T129" s="1066"/>
      <c r="U129" s="1066"/>
      <c r="V129" s="1066"/>
      <c r="W129" s="1066"/>
      <c r="X129" s="1066"/>
      <c r="Y129" s="1066"/>
      <c r="Z129" s="1066"/>
    </row>
    <row r="130" spans="1:31" ht="10.5" customHeight="1" x14ac:dyDescent="0.2">
      <c r="A130" s="2"/>
      <c r="B130" s="2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101"/>
      <c r="U130" s="101"/>
      <c r="V130" s="101"/>
      <c r="W130" s="101"/>
      <c r="X130" s="101"/>
      <c r="Y130" s="101"/>
      <c r="Z130" s="101"/>
    </row>
    <row r="131" spans="1:31" ht="24" customHeight="1" thickBot="1" x14ac:dyDescent="0.25">
      <c r="A131" s="2"/>
      <c r="B131" s="2"/>
      <c r="C131" s="875" t="s">
        <v>501</v>
      </c>
      <c r="D131" s="875"/>
      <c r="E131" s="875"/>
      <c r="F131" s="875"/>
      <c r="G131" s="875"/>
      <c r="H131" s="1066" t="str">
        <f>団体情報・入力の仕方!$E$12&amp;"　　〒　"&amp;団体情報・入力の仕方!$E$13&amp;"　"&amp;団体情報・入力の仕方!$E$14</f>
        <v>　　〒　　</v>
      </c>
      <c r="I131" s="1066"/>
      <c r="J131" s="1066"/>
      <c r="K131" s="1066"/>
      <c r="L131" s="1066"/>
      <c r="M131" s="1066"/>
      <c r="N131" s="1066"/>
      <c r="O131" s="1066"/>
      <c r="P131" s="1066"/>
      <c r="Q131" s="1066"/>
      <c r="R131" s="1066"/>
      <c r="S131" s="1066"/>
      <c r="T131" s="1066"/>
      <c r="U131" s="1066"/>
      <c r="V131" s="1066"/>
      <c r="W131" s="1066"/>
      <c r="X131" s="1066"/>
      <c r="Y131" s="1066"/>
      <c r="Z131" s="1066"/>
    </row>
    <row r="132" spans="1:31" ht="14.25" customHeight="1" thickBot="1" x14ac:dyDescent="0.25"/>
    <row r="133" spans="1:31" ht="24" customHeight="1" thickBot="1" x14ac:dyDescent="0.3">
      <c r="A133" s="10" t="s">
        <v>502</v>
      </c>
      <c r="B133" s="101" t="s">
        <v>503</v>
      </c>
      <c r="C133" s="2"/>
      <c r="D133" s="3"/>
      <c r="E133" s="3"/>
      <c r="F133" s="3"/>
      <c r="G133" s="3"/>
      <c r="H133" s="3"/>
      <c r="I133" s="3"/>
      <c r="J133" s="3"/>
      <c r="K133" s="3"/>
      <c r="L133" s="2"/>
      <c r="M133" s="2"/>
      <c r="N133" s="2"/>
      <c r="O133" s="2"/>
    </row>
    <row r="134" spans="1:31" ht="8.25" customHeight="1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</row>
    <row r="135" spans="1:31" ht="24.9" customHeight="1" x14ac:dyDescent="0.2">
      <c r="A135" s="103" t="s">
        <v>505</v>
      </c>
      <c r="B135" s="102"/>
      <c r="C135" s="2"/>
      <c r="D135" s="2"/>
      <c r="E135" s="2"/>
      <c r="F135" s="2"/>
      <c r="G135" s="2"/>
      <c r="H135" s="2"/>
      <c r="I135" s="103" t="s">
        <v>522</v>
      </c>
      <c r="J135" s="2"/>
      <c r="K135" s="2"/>
      <c r="L135" s="2"/>
      <c r="M135" s="2"/>
      <c r="N135" s="2"/>
      <c r="O135" s="2"/>
      <c r="P135" s="2"/>
      <c r="Q135" s="2"/>
      <c r="R135" s="2"/>
      <c r="S135" s="2"/>
    </row>
    <row r="136" spans="1:31" ht="24.9" customHeight="1" x14ac:dyDescent="0.2">
      <c r="A136" s="325" t="s">
        <v>546</v>
      </c>
      <c r="B136" s="104">
        <f>参照データ!$E$3</f>
        <v>2700</v>
      </c>
      <c r="C136" s="325" t="s">
        <v>509</v>
      </c>
      <c r="D136" s="325">
        <f>$X9+$F31</f>
        <v>0</v>
      </c>
      <c r="E136" s="325" t="s">
        <v>510</v>
      </c>
      <c r="F136" s="870">
        <f>B136*D136</f>
        <v>0</v>
      </c>
      <c r="G136" s="870"/>
      <c r="H136" s="2"/>
      <c r="I136" s="877" t="s">
        <v>523</v>
      </c>
      <c r="J136" s="877"/>
      <c r="K136" s="325" t="s">
        <v>524</v>
      </c>
      <c r="L136" s="104">
        <f>参照データ!$E$8</f>
        <v>2700</v>
      </c>
      <c r="M136" s="325" t="s">
        <v>525</v>
      </c>
      <c r="N136" s="325">
        <f t="shared" ref="N136:N144" si="6">$X42+$F61</f>
        <v>0</v>
      </c>
      <c r="O136" s="325" t="s">
        <v>511</v>
      </c>
      <c r="P136" s="870">
        <f>L136*N136</f>
        <v>0</v>
      </c>
      <c r="Q136" s="870"/>
      <c r="R136" s="2"/>
      <c r="S136" s="877" t="s">
        <v>550</v>
      </c>
      <c r="T136" s="877"/>
      <c r="U136" s="325" t="s">
        <v>526</v>
      </c>
      <c r="V136" s="104">
        <f>参照データ!$E$9</f>
        <v>2700</v>
      </c>
      <c r="W136" s="325" t="s">
        <v>512</v>
      </c>
      <c r="X136" s="325">
        <f t="shared" ref="X136:X144" si="7">$X51+$F70</f>
        <v>0</v>
      </c>
      <c r="Y136" s="325" t="s">
        <v>508</v>
      </c>
      <c r="Z136" s="870">
        <f>V136*X136</f>
        <v>0</v>
      </c>
      <c r="AA136" s="870"/>
      <c r="AD136" s="178"/>
    </row>
    <row r="137" spans="1:31" ht="24.9" customHeight="1" x14ac:dyDescent="0.2">
      <c r="A137" s="325" t="s">
        <v>547</v>
      </c>
      <c r="B137" s="104">
        <f>参照データ!$E$3</f>
        <v>2700</v>
      </c>
      <c r="C137" s="99" t="s">
        <v>509</v>
      </c>
      <c r="D137" s="99">
        <f>$X10+$F32</f>
        <v>0</v>
      </c>
      <c r="E137" s="99" t="s">
        <v>513</v>
      </c>
      <c r="F137" s="870">
        <f t="shared" ref="F137:F139" si="8">B137*D137</f>
        <v>0</v>
      </c>
      <c r="G137" s="870"/>
      <c r="H137" s="2"/>
      <c r="I137" s="2"/>
      <c r="K137" s="99" t="s">
        <v>526</v>
      </c>
      <c r="L137" s="105">
        <f>参照データ!$E$9</f>
        <v>2700</v>
      </c>
      <c r="M137" s="100" t="s">
        <v>512</v>
      </c>
      <c r="N137" s="99">
        <f t="shared" si="6"/>
        <v>0</v>
      </c>
      <c r="O137" s="100" t="s">
        <v>527</v>
      </c>
      <c r="P137" s="870">
        <f t="shared" ref="P137:P144" si="9">L137*N137</f>
        <v>0</v>
      </c>
      <c r="Q137" s="870"/>
      <c r="R137" s="2"/>
      <c r="S137" s="2"/>
      <c r="T137" s="317"/>
      <c r="U137" s="99" t="s">
        <v>528</v>
      </c>
      <c r="V137" s="105">
        <f>参照データ!$E$10</f>
        <v>4000</v>
      </c>
      <c r="W137" s="100" t="s">
        <v>512</v>
      </c>
      <c r="X137" s="325">
        <f t="shared" si="7"/>
        <v>0</v>
      </c>
      <c r="Y137" s="100" t="s">
        <v>511</v>
      </c>
      <c r="Z137" s="870">
        <f t="shared" ref="Z137:Z144" si="10">V137*X137</f>
        <v>0</v>
      </c>
      <c r="AA137" s="870"/>
      <c r="AD137" s="178"/>
      <c r="AE137" s="178"/>
    </row>
    <row r="138" spans="1:31" ht="24.9" customHeight="1" x14ac:dyDescent="0.2">
      <c r="A138" s="325" t="s">
        <v>548</v>
      </c>
      <c r="B138" s="104">
        <f>参照データ!$E$3</f>
        <v>2700</v>
      </c>
      <c r="C138" s="99" t="s">
        <v>516</v>
      </c>
      <c r="D138" s="99">
        <f>$X11+$F33</f>
        <v>0</v>
      </c>
      <c r="E138" s="99" t="s">
        <v>511</v>
      </c>
      <c r="F138" s="870">
        <f t="shared" si="8"/>
        <v>0</v>
      </c>
      <c r="G138" s="870"/>
      <c r="H138" s="2"/>
      <c r="I138" s="2"/>
      <c r="K138" s="99" t="s">
        <v>528</v>
      </c>
      <c r="L138" s="105">
        <f>参照データ!$E$10</f>
        <v>4000</v>
      </c>
      <c r="M138" s="99" t="s">
        <v>512</v>
      </c>
      <c r="N138" s="99">
        <f t="shared" si="6"/>
        <v>0</v>
      </c>
      <c r="O138" s="99" t="s">
        <v>511</v>
      </c>
      <c r="P138" s="870">
        <f t="shared" si="9"/>
        <v>0</v>
      </c>
      <c r="Q138" s="870"/>
      <c r="R138" s="2"/>
      <c r="S138" s="106"/>
      <c r="T138" s="325"/>
      <c r="U138" s="99" t="s">
        <v>529</v>
      </c>
      <c r="V138" s="105">
        <f>参照データ!$E$11</f>
        <v>4000</v>
      </c>
      <c r="W138" s="99" t="s">
        <v>512</v>
      </c>
      <c r="X138" s="325">
        <f t="shared" si="7"/>
        <v>0</v>
      </c>
      <c r="Y138" s="99" t="s">
        <v>511</v>
      </c>
      <c r="Z138" s="870">
        <f t="shared" si="10"/>
        <v>0</v>
      </c>
      <c r="AA138" s="870"/>
    </row>
    <row r="139" spans="1:31" ht="24.9" customHeight="1" x14ac:dyDescent="0.2">
      <c r="A139" s="325" t="s">
        <v>549</v>
      </c>
      <c r="B139" s="104">
        <f>参照データ!$E$3</f>
        <v>2700</v>
      </c>
      <c r="C139" s="99" t="s">
        <v>506</v>
      </c>
      <c r="D139" s="99">
        <f>$X12+$F34</f>
        <v>0</v>
      </c>
      <c r="E139" s="99" t="s">
        <v>511</v>
      </c>
      <c r="F139" s="870">
        <f t="shared" si="8"/>
        <v>0</v>
      </c>
      <c r="G139" s="870"/>
      <c r="H139" s="2"/>
      <c r="I139" s="106"/>
      <c r="J139" s="325"/>
      <c r="K139" s="99" t="s">
        <v>529</v>
      </c>
      <c r="L139" s="105">
        <f>参照データ!$E$11</f>
        <v>4000</v>
      </c>
      <c r="M139" s="99" t="s">
        <v>509</v>
      </c>
      <c r="N139" s="99">
        <f t="shared" si="6"/>
        <v>0</v>
      </c>
      <c r="O139" s="99" t="s">
        <v>511</v>
      </c>
      <c r="P139" s="870">
        <f t="shared" si="9"/>
        <v>0</v>
      </c>
      <c r="Q139" s="870"/>
      <c r="R139" s="2"/>
      <c r="S139" s="877" t="s">
        <v>551</v>
      </c>
      <c r="T139" s="877"/>
      <c r="U139" s="99" t="s">
        <v>526</v>
      </c>
      <c r="V139" s="105">
        <f>参照データ!$E$9</f>
        <v>2700</v>
      </c>
      <c r="W139" s="99" t="s">
        <v>506</v>
      </c>
      <c r="X139" s="325">
        <f t="shared" si="7"/>
        <v>0</v>
      </c>
      <c r="Y139" s="99" t="s">
        <v>519</v>
      </c>
      <c r="Z139" s="870">
        <f t="shared" si="10"/>
        <v>0</v>
      </c>
      <c r="AA139" s="870"/>
    </row>
    <row r="140" spans="1:31" ht="24.9" customHeight="1" x14ac:dyDescent="0.2">
      <c r="B140" s="318"/>
      <c r="F140" s="876"/>
      <c r="G140" s="876"/>
      <c r="H140" s="2"/>
      <c r="I140" s="877" t="s">
        <v>530</v>
      </c>
      <c r="J140" s="877"/>
      <c r="K140" s="99" t="s">
        <v>526</v>
      </c>
      <c r="L140" s="105">
        <f>参照データ!$E$9</f>
        <v>2700</v>
      </c>
      <c r="M140" s="99" t="s">
        <v>512</v>
      </c>
      <c r="N140" s="99">
        <f t="shared" si="6"/>
        <v>0</v>
      </c>
      <c r="O140" s="99" t="s">
        <v>511</v>
      </c>
      <c r="P140" s="870">
        <f t="shared" si="9"/>
        <v>0</v>
      </c>
      <c r="Q140" s="870"/>
      <c r="R140" s="2"/>
      <c r="S140" s="2"/>
      <c r="T140" s="317"/>
      <c r="U140" s="99" t="s">
        <v>528</v>
      </c>
      <c r="V140" s="105">
        <f>参照データ!$E$10</f>
        <v>4000</v>
      </c>
      <c r="W140" s="99" t="s">
        <v>512</v>
      </c>
      <c r="X140" s="325">
        <f t="shared" si="7"/>
        <v>0</v>
      </c>
      <c r="Y140" s="99" t="s">
        <v>531</v>
      </c>
      <c r="Z140" s="870">
        <f t="shared" si="10"/>
        <v>0</v>
      </c>
      <c r="AA140" s="870"/>
    </row>
    <row r="141" spans="1:31" ht="24.9" customHeight="1" x14ac:dyDescent="0.2">
      <c r="B141" s="318"/>
      <c r="F141" s="876"/>
      <c r="G141" s="876"/>
      <c r="H141" s="2"/>
      <c r="I141" s="2"/>
      <c r="K141" s="99" t="s">
        <v>528</v>
      </c>
      <c r="L141" s="105">
        <f>参照データ!$E$10</f>
        <v>4000</v>
      </c>
      <c r="M141" s="99" t="s">
        <v>509</v>
      </c>
      <c r="N141" s="99">
        <f t="shared" si="6"/>
        <v>0</v>
      </c>
      <c r="O141" s="99" t="s">
        <v>531</v>
      </c>
      <c r="P141" s="870">
        <f t="shared" si="9"/>
        <v>0</v>
      </c>
      <c r="Q141" s="870"/>
      <c r="R141" s="2"/>
      <c r="S141" s="106"/>
      <c r="T141" s="325"/>
      <c r="U141" s="99" t="s">
        <v>529</v>
      </c>
      <c r="V141" s="105">
        <f>参照データ!$E$11</f>
        <v>4000</v>
      </c>
      <c r="W141" s="99" t="s">
        <v>506</v>
      </c>
      <c r="X141" s="325">
        <f t="shared" si="7"/>
        <v>0</v>
      </c>
      <c r="Y141" s="99" t="s">
        <v>519</v>
      </c>
      <c r="Z141" s="870">
        <f t="shared" si="10"/>
        <v>0</v>
      </c>
      <c r="AA141" s="870"/>
    </row>
    <row r="142" spans="1:31" ht="24.9" customHeight="1" thickBot="1" x14ac:dyDescent="0.25">
      <c r="A142" s="103" t="s">
        <v>522</v>
      </c>
      <c r="B142" s="2"/>
      <c r="C142" s="2"/>
      <c r="D142" s="2"/>
      <c r="E142" s="2"/>
      <c r="F142" s="2"/>
      <c r="G142" s="178"/>
      <c r="H142" s="2"/>
      <c r="I142" s="106"/>
      <c r="J142" s="325"/>
      <c r="K142" s="99" t="s">
        <v>529</v>
      </c>
      <c r="L142" s="105">
        <f>参照データ!$E$11</f>
        <v>4000</v>
      </c>
      <c r="M142" s="99" t="s">
        <v>509</v>
      </c>
      <c r="N142" s="99">
        <f t="shared" si="6"/>
        <v>0</v>
      </c>
      <c r="O142" s="99" t="s">
        <v>510</v>
      </c>
      <c r="P142" s="870">
        <f t="shared" si="9"/>
        <v>0</v>
      </c>
      <c r="Q142" s="870"/>
      <c r="R142" s="2"/>
      <c r="S142" s="877" t="s">
        <v>532</v>
      </c>
      <c r="T142" s="877"/>
      <c r="U142" s="99" t="s">
        <v>526</v>
      </c>
      <c r="V142" s="105">
        <f>参照データ!$J$9*2</f>
        <v>4500</v>
      </c>
      <c r="W142" s="99" t="s">
        <v>509</v>
      </c>
      <c r="X142" s="325">
        <f t="shared" si="7"/>
        <v>0</v>
      </c>
      <c r="Y142" s="99" t="s">
        <v>531</v>
      </c>
      <c r="Z142" s="870">
        <f t="shared" si="10"/>
        <v>0</v>
      </c>
      <c r="AA142" s="870"/>
      <c r="AD142" s="178"/>
    </row>
    <row r="143" spans="1:31" ht="24.9" customHeight="1" thickBot="1" x14ac:dyDescent="0.25">
      <c r="A143" s="325" t="s">
        <v>840</v>
      </c>
      <c r="B143" s="522">
        <f>参照データ!$E$5</f>
        <v>2000</v>
      </c>
      <c r="C143" s="325" t="s">
        <v>506</v>
      </c>
      <c r="D143" s="325">
        <f>F36</f>
        <v>0</v>
      </c>
      <c r="E143" s="325" t="s">
        <v>507</v>
      </c>
      <c r="F143" s="870">
        <f>B143*D143</f>
        <v>0</v>
      </c>
      <c r="G143" s="870"/>
      <c r="H143" s="2"/>
      <c r="I143" s="877" t="s">
        <v>515</v>
      </c>
      <c r="J143" s="877"/>
      <c r="K143" s="99" t="s">
        <v>526</v>
      </c>
      <c r="L143" s="105">
        <f>参照データ!$E$9</f>
        <v>2700</v>
      </c>
      <c r="M143" s="99" t="s">
        <v>512</v>
      </c>
      <c r="N143" s="99">
        <f t="shared" si="6"/>
        <v>0</v>
      </c>
      <c r="O143" s="99" t="s">
        <v>510</v>
      </c>
      <c r="P143" s="870">
        <f t="shared" si="9"/>
        <v>0</v>
      </c>
      <c r="Q143" s="870"/>
      <c r="R143" s="2"/>
      <c r="S143" s="2"/>
      <c r="T143" s="317"/>
      <c r="U143" s="99" t="s">
        <v>528</v>
      </c>
      <c r="V143" s="105">
        <f>参照データ!$J$10*2</f>
        <v>5500</v>
      </c>
      <c r="W143" s="99" t="s">
        <v>509</v>
      </c>
      <c r="X143" s="325">
        <f t="shared" si="7"/>
        <v>0</v>
      </c>
      <c r="Y143" s="99" t="s">
        <v>510</v>
      </c>
      <c r="Z143" s="870">
        <f t="shared" si="10"/>
        <v>0</v>
      </c>
      <c r="AA143" s="870"/>
      <c r="AC143" s="934" t="s">
        <v>520</v>
      </c>
      <c r="AD143" s="935"/>
    </row>
    <row r="144" spans="1:31" ht="24.9" customHeight="1" thickBot="1" x14ac:dyDescent="0.25">
      <c r="B144" s="318"/>
      <c r="F144" s="876"/>
      <c r="G144" s="876"/>
      <c r="H144" s="2"/>
      <c r="I144" s="106"/>
      <c r="J144" s="325"/>
      <c r="K144" s="99" t="s">
        <v>529</v>
      </c>
      <c r="L144" s="105">
        <f>参照データ!$E$11</f>
        <v>4000</v>
      </c>
      <c r="M144" s="99" t="s">
        <v>534</v>
      </c>
      <c r="N144" s="99">
        <f t="shared" si="6"/>
        <v>0</v>
      </c>
      <c r="O144" s="99" t="s">
        <v>510</v>
      </c>
      <c r="P144" s="870">
        <f t="shared" si="9"/>
        <v>0</v>
      </c>
      <c r="Q144" s="870"/>
      <c r="R144" s="2"/>
      <c r="S144" s="106"/>
      <c r="T144" s="325"/>
      <c r="U144" s="99" t="s">
        <v>529</v>
      </c>
      <c r="V144" s="105">
        <f>参照データ!$J$11*2</f>
        <v>5500</v>
      </c>
      <c r="W144" s="99" t="s">
        <v>512</v>
      </c>
      <c r="X144" s="325">
        <f t="shared" si="7"/>
        <v>0</v>
      </c>
      <c r="Y144" s="99" t="s">
        <v>535</v>
      </c>
      <c r="Z144" s="870">
        <f t="shared" si="10"/>
        <v>0</v>
      </c>
      <c r="AA144" s="870"/>
      <c r="AC144" s="936">
        <f>SUM(F136:G139,P136:Q144,Z136:AA144,F143)</f>
        <v>0</v>
      </c>
      <c r="AD144" s="937"/>
    </row>
    <row r="145" spans="1:30" ht="24.9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Q145" s="2"/>
      <c r="R145" s="2"/>
      <c r="S145" s="2"/>
    </row>
    <row r="146" spans="1:30" ht="24.9" customHeight="1" x14ac:dyDescent="0.2">
      <c r="A146" s="103" t="str">
        <f>Sheet1!A14</f>
        <v>オープン６種目選手権</v>
      </c>
      <c r="B146" s="2"/>
      <c r="C146" s="2"/>
      <c r="D146" s="2"/>
      <c r="E146" s="2"/>
      <c r="F146" s="2"/>
      <c r="G146" s="2"/>
      <c r="H146" s="2"/>
      <c r="I146" s="103" t="s">
        <v>683</v>
      </c>
      <c r="J146" s="2"/>
      <c r="K146" s="2"/>
      <c r="L146" s="2"/>
      <c r="M146" s="2"/>
      <c r="N146" s="2"/>
      <c r="O146" s="2"/>
      <c r="P146" s="2"/>
      <c r="Q146" s="2"/>
      <c r="R146" s="2"/>
      <c r="S146" s="103" t="s">
        <v>891</v>
      </c>
      <c r="T146" s="102"/>
    </row>
    <row r="147" spans="1:30" ht="24.9" customHeight="1" x14ac:dyDescent="0.2">
      <c r="A147" s="325" t="s">
        <v>453</v>
      </c>
      <c r="B147" s="104">
        <f>参照データ!$E$12</f>
        <v>4500</v>
      </c>
      <c r="C147" s="325" t="s">
        <v>506</v>
      </c>
      <c r="D147" s="325">
        <f>IF(団体情報・入力の仕方!$C$3="大田区大会",'エントリー別人数表＆参加費申込書'!X93,'エントリー別人数表＆参加費申込書'!U81)</f>
        <v>0</v>
      </c>
      <c r="E147" s="325" t="s">
        <v>507</v>
      </c>
      <c r="F147" s="870">
        <f t="shared" ref="F147:F152" si="11">B147*D147</f>
        <v>0</v>
      </c>
      <c r="G147" s="870"/>
      <c r="H147" s="2"/>
      <c r="I147" s="869" t="s">
        <v>702</v>
      </c>
      <c r="J147" s="869"/>
      <c r="K147" s="487">
        <f>参照データ!$H$3</f>
        <v>5000</v>
      </c>
      <c r="L147" s="325" t="s">
        <v>516</v>
      </c>
      <c r="M147" s="325">
        <f>$X$105</f>
        <v>0</v>
      </c>
      <c r="N147" s="325" t="s">
        <v>704</v>
      </c>
      <c r="O147" s="870">
        <f>K147*M147</f>
        <v>0</v>
      </c>
      <c r="P147" s="870"/>
      <c r="Q147" s="2"/>
      <c r="R147" s="2"/>
      <c r="S147" s="869" t="s">
        <v>524</v>
      </c>
      <c r="T147" s="869"/>
      <c r="U147" s="487">
        <v>2000</v>
      </c>
      <c r="V147" s="325" t="s">
        <v>506</v>
      </c>
      <c r="W147" s="325">
        <f>$X$110</f>
        <v>0</v>
      </c>
      <c r="X147" s="325" t="s">
        <v>704</v>
      </c>
      <c r="Y147" s="870">
        <f t="shared" ref="Y147:Y152" si="12">U147*W147</f>
        <v>0</v>
      </c>
      <c r="Z147" s="870"/>
    </row>
    <row r="148" spans="1:30" ht="24.9" customHeight="1" x14ac:dyDescent="0.2">
      <c r="A148" s="99" t="s">
        <v>454</v>
      </c>
      <c r="B148" s="104">
        <f>参照データ!$E$12</f>
        <v>4500</v>
      </c>
      <c r="C148" s="100" t="s">
        <v>506</v>
      </c>
      <c r="D148" s="325">
        <f>IF(団体情報・入力の仕方!$C$3="大田区大会",'エントリー別人数表＆参加費申込書'!X95,'エントリー別人数表＆参加費申込書'!U82)</f>
        <v>0</v>
      </c>
      <c r="E148" s="100" t="s">
        <v>511</v>
      </c>
      <c r="F148" s="870">
        <f t="shared" si="11"/>
        <v>0</v>
      </c>
      <c r="G148" s="870"/>
      <c r="H148" s="2"/>
      <c r="I148" s="1086" t="s">
        <v>904</v>
      </c>
      <c r="J148" s="1086"/>
      <c r="K148" s="1086"/>
      <c r="L148" s="325">
        <f>団体情報・入力の仕方!$R$33</f>
        <v>0</v>
      </c>
      <c r="M148" s="99" t="s">
        <v>906</v>
      </c>
      <c r="N148" s="99" t="s">
        <v>508</v>
      </c>
      <c r="O148" s="944">
        <f>団体情報・入力の仕方!$U$38</f>
        <v>0</v>
      </c>
      <c r="P148" s="944"/>
      <c r="Q148" s="2"/>
      <c r="R148" s="2"/>
      <c r="S148" s="869" t="s">
        <v>526</v>
      </c>
      <c r="T148" s="869"/>
      <c r="U148" s="487">
        <v>2000</v>
      </c>
      <c r="V148" s="325" t="s">
        <v>506</v>
      </c>
      <c r="W148" s="325">
        <f>$X$111</f>
        <v>0</v>
      </c>
      <c r="X148" s="325" t="s">
        <v>704</v>
      </c>
      <c r="Y148" s="870">
        <f t="shared" si="12"/>
        <v>0</v>
      </c>
      <c r="Z148" s="870"/>
    </row>
    <row r="149" spans="1:30" ht="24.9" customHeight="1" x14ac:dyDescent="0.2">
      <c r="A149" s="99" t="s">
        <v>514</v>
      </c>
      <c r="B149" s="104">
        <f>参照データ!$E$12</f>
        <v>4500</v>
      </c>
      <c r="C149" s="99" t="s">
        <v>506</v>
      </c>
      <c r="D149" s="325">
        <f>IF(団体情報・入力の仕方!$C$3="大田区大会",'エントリー別人数表＆参加費申込書'!X97,'エントリー別人数表＆参加費申込書'!U83)</f>
        <v>0</v>
      </c>
      <c r="E149" s="99" t="s">
        <v>511</v>
      </c>
      <c r="F149" s="870">
        <f t="shared" si="11"/>
        <v>0</v>
      </c>
      <c r="G149" s="870"/>
      <c r="H149" s="2"/>
      <c r="I149" s="1086" t="s">
        <v>905</v>
      </c>
      <c r="J149" s="1086"/>
      <c r="K149" s="1086"/>
      <c r="L149" s="565">
        <f>団体情報・入力の仕方!$R$34</f>
        <v>0</v>
      </c>
      <c r="M149" s="99" t="s">
        <v>906</v>
      </c>
      <c r="N149" s="99" t="s">
        <v>507</v>
      </c>
      <c r="O149" s="944">
        <f>団体情報・入力の仕方!$V$38</f>
        <v>0</v>
      </c>
      <c r="P149" s="944"/>
      <c r="Q149" s="2"/>
      <c r="R149" s="2"/>
      <c r="S149" s="869" t="s">
        <v>528</v>
      </c>
      <c r="T149" s="869"/>
      <c r="U149" s="487">
        <v>3000</v>
      </c>
      <c r="V149" s="325" t="s">
        <v>506</v>
      </c>
      <c r="W149" s="325">
        <f>$X$112</f>
        <v>0</v>
      </c>
      <c r="X149" s="325" t="s">
        <v>704</v>
      </c>
      <c r="Y149" s="870">
        <f>U149*W149</f>
        <v>0</v>
      </c>
      <c r="Z149" s="870"/>
    </row>
    <row r="150" spans="1:30" ht="24.9" customHeight="1" thickBot="1" x14ac:dyDescent="0.25">
      <c r="A150" s="325" t="s">
        <v>518</v>
      </c>
      <c r="B150" s="104">
        <f>参照データ!$E$12</f>
        <v>4500</v>
      </c>
      <c r="C150" s="99" t="s">
        <v>512</v>
      </c>
      <c r="D150" s="325">
        <f>IF(団体情報・入力の仕方!$C$3="大田区大会",'エントリー別人数表＆参加費申込書'!X99,'エントリー別人数表＆参加費申込書'!U84)</f>
        <v>0</v>
      </c>
      <c r="E150" s="99" t="s">
        <v>510</v>
      </c>
      <c r="F150" s="870">
        <f t="shared" si="11"/>
        <v>0</v>
      </c>
      <c r="G150" s="870"/>
      <c r="H150" s="2"/>
      <c r="I150" s="561" t="str">
        <f>IF(団体情報・入力の仕方!$C$3="港区大会",Sheet1!$A$24,"")</f>
        <v/>
      </c>
      <c r="L150" s="318"/>
      <c r="P150" s="178"/>
      <c r="Q150" s="2"/>
      <c r="R150" s="2"/>
      <c r="S150" s="869" t="s">
        <v>529</v>
      </c>
      <c r="T150" s="869"/>
      <c r="U150" s="487">
        <v>3000</v>
      </c>
      <c r="V150" s="325" t="s">
        <v>506</v>
      </c>
      <c r="W150" s="325">
        <f>$X$113</f>
        <v>0</v>
      </c>
      <c r="X150" s="325" t="s">
        <v>704</v>
      </c>
      <c r="Y150" s="870">
        <f t="shared" si="12"/>
        <v>0</v>
      </c>
      <c r="Z150" s="870"/>
    </row>
    <row r="151" spans="1:30" ht="24.9" customHeight="1" thickBot="1" x14ac:dyDescent="0.25">
      <c r="A151" s="99" t="s">
        <v>543</v>
      </c>
      <c r="B151" s="104">
        <f>参照データ!$E$12</f>
        <v>4500</v>
      </c>
      <c r="C151" s="99" t="s">
        <v>512</v>
      </c>
      <c r="D151" s="325">
        <f>IF(団体情報・入力の仕方!$C$3="大田区大会",'エントリー別人数表＆参加費申込書'!X100,'エントリー別人数表＆参加費申込書'!U85)</f>
        <v>0</v>
      </c>
      <c r="E151" s="99" t="s">
        <v>517</v>
      </c>
      <c r="F151" s="870">
        <f t="shared" si="11"/>
        <v>0</v>
      </c>
      <c r="G151" s="870"/>
      <c r="H151" s="2"/>
      <c r="I151" s="561" t="str">
        <f>IF(団体情報・入力の仕方!$C$3="港区大会",Sheet1!$A$25,"")</f>
        <v/>
      </c>
      <c r="L151" s="318"/>
      <c r="P151" s="178"/>
      <c r="Q151" s="2"/>
      <c r="R151" s="2"/>
      <c r="S151" s="869" t="s">
        <v>883</v>
      </c>
      <c r="T151" s="869"/>
      <c r="U151" s="487">
        <v>3000</v>
      </c>
      <c r="V151" s="325" t="s">
        <v>506</v>
      </c>
      <c r="W151" s="325">
        <f>$X$114</f>
        <v>0</v>
      </c>
      <c r="X151" s="325" t="s">
        <v>704</v>
      </c>
      <c r="Y151" s="870">
        <f t="shared" si="12"/>
        <v>0</v>
      </c>
      <c r="Z151" s="870"/>
      <c r="AA151" s="178"/>
      <c r="AC151" s="934" t="s">
        <v>533</v>
      </c>
      <c r="AD151" s="935"/>
    </row>
    <row r="152" spans="1:30" ht="24.9" customHeight="1" thickBot="1" x14ac:dyDescent="0.25">
      <c r="A152" s="99" t="s">
        <v>521</v>
      </c>
      <c r="B152" s="105">
        <f>(参照データ!$J$12)*2</f>
        <v>6000</v>
      </c>
      <c r="C152" s="99" t="s">
        <v>509</v>
      </c>
      <c r="D152" s="325">
        <f>IF(団体情報・入力の仕方!$C$3="大田区大会",'エントリー別人数表＆参加費申込書'!X101,'エントリー別人数表＆参加費申込書'!U86)</f>
        <v>0</v>
      </c>
      <c r="E152" s="99" t="s">
        <v>511</v>
      </c>
      <c r="F152" s="870">
        <f t="shared" si="11"/>
        <v>0</v>
      </c>
      <c r="G152" s="870"/>
      <c r="H152" s="2"/>
      <c r="I152" s="561" t="str">
        <f>IF(団体情報・入力の仕方!$C$3="港区大会",Sheet1!$A$26,"")</f>
        <v/>
      </c>
      <c r="L152" s="318"/>
      <c r="P152" s="178"/>
      <c r="Q152" s="178"/>
      <c r="R152" s="2"/>
      <c r="S152" s="550" t="s">
        <v>884</v>
      </c>
      <c r="T152" s="550"/>
      <c r="U152" s="99">
        <v>500</v>
      </c>
      <c r="V152" s="99" t="s">
        <v>506</v>
      </c>
      <c r="W152" s="99">
        <f>団体情報・入力の仕方!P46</f>
        <v>0</v>
      </c>
      <c r="X152" s="99" t="s">
        <v>704</v>
      </c>
      <c r="Y152" s="944">
        <f t="shared" si="12"/>
        <v>0</v>
      </c>
      <c r="Z152" s="944"/>
      <c r="AA152" s="178"/>
      <c r="AC152" s="936">
        <f>SUM(F147:G152,O147:P149,Y147:Z152)</f>
        <v>0</v>
      </c>
      <c r="AD152" s="937"/>
    </row>
    <row r="153" spans="1:30" ht="24.9" customHeight="1" thickBot="1" x14ac:dyDescent="0.25">
      <c r="A153" s="2"/>
      <c r="B153" s="2"/>
      <c r="C153" s="2"/>
      <c r="D153" s="2"/>
      <c r="E153" s="2"/>
      <c r="F153" s="2"/>
      <c r="G153" s="179"/>
      <c r="H153" s="2"/>
      <c r="I153" s="564" t="str">
        <f>IF(団体情報・入力の仕方!$C$3="港区大会",Sheet1!$A$27,"")</f>
        <v/>
      </c>
      <c r="J153" s="2"/>
      <c r="K153" s="2"/>
      <c r="L153" s="2"/>
      <c r="M153" s="2"/>
      <c r="N153" s="2"/>
      <c r="O153" s="2"/>
      <c r="P153" s="2"/>
      <c r="Q153" s="2"/>
      <c r="R153" s="2"/>
      <c r="S153" s="2"/>
      <c r="AA153" s="178"/>
    </row>
    <row r="154" spans="1:30" ht="24.9" customHeight="1" thickBot="1" x14ac:dyDescent="0.25">
      <c r="B154" s="318"/>
      <c r="F154" s="876"/>
      <c r="G154" s="876"/>
      <c r="H154" s="2"/>
      <c r="I154" s="2"/>
      <c r="L154" s="318"/>
      <c r="P154" s="876"/>
      <c r="Q154" s="876"/>
      <c r="R154" s="2"/>
      <c r="S154" s="1053" t="s">
        <v>730</v>
      </c>
      <c r="T154" s="1054"/>
      <c r="U154" s="1054"/>
      <c r="V154" s="1054"/>
      <c r="W154" s="1054"/>
      <c r="X154" s="1054"/>
      <c r="Y154" s="1054"/>
      <c r="Z154" s="1055"/>
      <c r="AA154" s="1056"/>
      <c r="AB154" s="1057">
        <f>3000*$Z$154</f>
        <v>0</v>
      </c>
      <c r="AC154" s="1058"/>
      <c r="AD154" s="1059"/>
    </row>
    <row r="155" spans="1:30" ht="24.9" customHeight="1" thickBo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562" t="str">
        <f>IF(団体情報・入力の仕方!C3="目黒区大会","【要確認】ビデオ撮影証は1団体につき３枚まで","")</f>
        <v/>
      </c>
    </row>
    <row r="156" spans="1:30" ht="33" customHeight="1" thickTop="1" thickBot="1" x14ac:dyDescent="0.25">
      <c r="A156" s="2"/>
      <c r="B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523" t="s">
        <v>536</v>
      </c>
      <c r="R156" s="523"/>
      <c r="S156" s="523"/>
      <c r="T156" s="523"/>
      <c r="U156" s="523"/>
      <c r="V156" s="523"/>
      <c r="X156" s="941" t="s">
        <v>677</v>
      </c>
      <c r="Y156" s="942"/>
      <c r="Z156" s="942"/>
      <c r="AA156" s="943"/>
      <c r="AB156" s="938">
        <f>SUM($AC$152+$AC$144+AB154)</f>
        <v>0</v>
      </c>
      <c r="AC156" s="939"/>
      <c r="AD156" s="940"/>
    </row>
    <row r="157" spans="1:30" ht="24.9" customHeight="1" thickTop="1" x14ac:dyDescent="0.2">
      <c r="A157" s="2"/>
      <c r="B157" s="2"/>
      <c r="C157" s="178"/>
      <c r="D157" s="178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X157" s="933" t="str">
        <f>IF(団体情報・入力の仕方!$C$3="大会","【参加費振込期間：7月20日(水)～29日(金)】","参加費は申込受付期間内にお振込みください。")</f>
        <v>参加費は申込受付期間内にお振込みください。</v>
      </c>
      <c r="Y157" s="933"/>
      <c r="Z157" s="933"/>
      <c r="AA157" s="933"/>
      <c r="AB157" s="933"/>
      <c r="AC157" s="933"/>
      <c r="AD157" s="933"/>
    </row>
    <row r="158" spans="1:30" ht="24.9" customHeight="1" x14ac:dyDescent="0.2">
      <c r="A158" s="2"/>
      <c r="B158" s="2"/>
      <c r="C158" s="2"/>
      <c r="D158" s="2"/>
      <c r="E158" s="2"/>
      <c r="O158" s="2"/>
      <c r="P158" s="2"/>
      <c r="Q158" s="2"/>
      <c r="R158" s="2"/>
      <c r="S158" s="2"/>
    </row>
    <row r="159" spans="1:30" ht="24.9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</row>
    <row r="160" spans="1:30" ht="24.9" customHeight="1" x14ac:dyDescent="0.2">
      <c r="A160" s="2"/>
      <c r="B160" s="2"/>
      <c r="C160" s="178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</row>
    <row r="161" spans="1:19" ht="24.9" hidden="1" customHeight="1" x14ac:dyDescent="0.2">
      <c r="A161" s="869" t="s">
        <v>671</v>
      </c>
      <c r="B161" s="869"/>
      <c r="C161" s="869"/>
      <c r="D161" s="104">
        <f>参照データ!$E$4</f>
        <v>0</v>
      </c>
      <c r="E161" s="325" t="s">
        <v>506</v>
      </c>
      <c r="F161" s="325">
        <f>$X$89</f>
        <v>0</v>
      </c>
      <c r="G161" s="325" t="s">
        <v>507</v>
      </c>
      <c r="H161" s="870">
        <f>D161*F161</f>
        <v>0</v>
      </c>
      <c r="I161" s="870"/>
      <c r="J161" s="2"/>
      <c r="K161" s="2"/>
      <c r="L161" s="2"/>
      <c r="M161" s="2"/>
      <c r="N161" s="2"/>
      <c r="O161" s="2"/>
      <c r="P161" s="2"/>
      <c r="Q161" s="2"/>
      <c r="R161" s="2"/>
      <c r="S161" s="2"/>
    </row>
    <row r="162" spans="1:19" ht="24.9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</row>
    <row r="163" spans="1:19" ht="24.9" customHeight="1" x14ac:dyDescent="0.2">
      <c r="A163" s="2"/>
      <c r="B163" s="320"/>
      <c r="C163" s="320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</row>
    <row r="164" spans="1:19" ht="24.9" customHeight="1" x14ac:dyDescent="0.2">
      <c r="A164" s="2"/>
      <c r="B164" s="320"/>
      <c r="C164" s="320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</row>
    <row r="165" spans="1:19" ht="24.9" customHeight="1" x14ac:dyDescent="0.2">
      <c r="A165" s="2"/>
      <c r="B165" s="320"/>
      <c r="C165" s="320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</row>
    <row r="166" spans="1:19" ht="24.9" customHeight="1" x14ac:dyDescent="0.2">
      <c r="A166" s="2"/>
      <c r="B166" s="320"/>
      <c r="C166" s="320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</row>
    <row r="167" spans="1:19" ht="24.9" customHeight="1" x14ac:dyDescent="0.2">
      <c r="A167" s="2"/>
      <c r="B167" s="320"/>
      <c r="C167" s="320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</row>
    <row r="168" spans="1:19" ht="24.9" customHeight="1" x14ac:dyDescent="0.2">
      <c r="A168" s="2"/>
      <c r="B168" s="320"/>
      <c r="C168" s="320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</row>
    <row r="169" spans="1:19" ht="24.9" customHeight="1" x14ac:dyDescent="0.2">
      <c r="A169" s="2"/>
      <c r="B169" s="320"/>
      <c r="C169" s="320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</row>
    <row r="170" spans="1:19" ht="24.9" customHeight="1" x14ac:dyDescent="0.2">
      <c r="A170" s="2"/>
      <c r="B170" s="320"/>
      <c r="C170" s="320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</row>
    <row r="171" spans="1:19" ht="24.9" customHeight="1" x14ac:dyDescent="0.2">
      <c r="A171" s="2"/>
      <c r="B171" s="320"/>
      <c r="C171" s="320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</row>
    <row r="172" spans="1:19" ht="24.9" customHeight="1" x14ac:dyDescent="0.2">
      <c r="A172" s="2"/>
      <c r="B172" s="320"/>
      <c r="C172" s="320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</row>
    <row r="173" spans="1:19" ht="39.75" customHeight="1" x14ac:dyDescent="0.2">
      <c r="A173" s="320"/>
      <c r="B173" s="320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</row>
    <row r="174" spans="1:19" ht="24.9" customHeight="1" x14ac:dyDescent="0.2">
      <c r="A174" s="2"/>
      <c r="B174" s="320"/>
      <c r="C174" s="320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</row>
    <row r="175" spans="1:19" ht="24.9" customHeight="1" x14ac:dyDescent="0.2">
      <c r="A175" s="2"/>
      <c r="B175" s="320"/>
      <c r="C175" s="320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</row>
    <row r="176" spans="1:19" ht="24.9" customHeight="1" x14ac:dyDescent="0.2">
      <c r="A176" s="2"/>
      <c r="B176" s="320"/>
      <c r="C176" s="320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</row>
    <row r="177" spans="1:32" ht="24.9" customHeight="1" x14ac:dyDescent="0.2">
      <c r="A177" s="2"/>
      <c r="B177" s="320"/>
      <c r="C177" s="320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</row>
    <row r="178" spans="1:32" ht="24.9" customHeight="1" x14ac:dyDescent="0.2">
      <c r="A178" s="2"/>
      <c r="B178" s="320"/>
      <c r="C178" s="320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</row>
    <row r="179" spans="1:32" ht="24.9" customHeight="1" x14ac:dyDescent="0.2">
      <c r="A179" s="2"/>
      <c r="B179" s="320"/>
      <c r="C179" s="320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</row>
    <row r="180" spans="1:32" ht="24.9" customHeight="1" x14ac:dyDescent="0.2">
      <c r="A180" s="2"/>
      <c r="B180" s="320"/>
      <c r="C180" s="320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</row>
    <row r="181" spans="1:32" ht="24.9" customHeight="1" x14ac:dyDescent="0.2">
      <c r="A181" s="2"/>
      <c r="B181" s="320"/>
      <c r="C181" s="320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</row>
    <row r="182" spans="1:32" ht="24.9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N182" s="318"/>
      <c r="R182" s="319"/>
      <c r="S182" s="319"/>
      <c r="V182" s="317"/>
      <c r="W182" s="317"/>
      <c r="X182" s="318"/>
      <c r="Y182" s="317"/>
      <c r="Z182" s="317"/>
      <c r="AA182" s="317"/>
      <c r="AB182" s="319"/>
      <c r="AC182" s="319"/>
      <c r="AE182" s="320"/>
      <c r="AF182" s="320"/>
    </row>
    <row r="183" spans="1:32" ht="24.9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N183" s="318"/>
      <c r="R183" s="319"/>
      <c r="S183" s="319"/>
      <c r="V183" s="317"/>
      <c r="W183" s="317"/>
      <c r="X183" s="318"/>
      <c r="Y183" s="317"/>
      <c r="Z183" s="317"/>
      <c r="AA183" s="317"/>
      <c r="AB183" s="319"/>
      <c r="AC183" s="319"/>
      <c r="AE183" s="320"/>
      <c r="AF183" s="320"/>
    </row>
    <row r="184" spans="1:32" ht="24.9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N184" s="318"/>
      <c r="R184" s="319"/>
      <c r="S184" s="319"/>
      <c r="V184" s="317"/>
      <c r="W184" s="317"/>
      <c r="X184" s="318"/>
      <c r="Y184" s="317"/>
      <c r="Z184" s="317"/>
      <c r="AA184" s="317"/>
      <c r="AB184" s="319"/>
      <c r="AC184" s="319"/>
      <c r="AE184" s="320"/>
      <c r="AF184" s="320"/>
    </row>
    <row r="185" spans="1:32" ht="24.9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S185" s="2"/>
    </row>
    <row r="186" spans="1:32" ht="33" customHeight="1" x14ac:dyDescent="0.2">
      <c r="A186" s="2"/>
      <c r="B186" s="2"/>
      <c r="C186" s="2"/>
      <c r="D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</row>
    <row r="187" spans="1:32" ht="24.9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P187" s="2"/>
      <c r="Q187" s="2"/>
      <c r="R187" s="2"/>
      <c r="S187" s="2"/>
    </row>
    <row r="188" spans="1:32" ht="24.9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P188" s="2"/>
      <c r="Q188" s="2"/>
      <c r="R188" s="2"/>
      <c r="S188" s="2"/>
    </row>
    <row r="189" spans="1:32" x14ac:dyDescent="0.2">
      <c r="T189" s="317"/>
    </row>
    <row r="190" spans="1:32" x14ac:dyDescent="0.2">
      <c r="T190" s="317"/>
    </row>
    <row r="191" spans="1:32" x14ac:dyDescent="0.2">
      <c r="M191" s="2"/>
    </row>
  </sheetData>
  <sheetProtection algorithmName="SHA-512" hashValue="9muAsB9kf6W7abdqPKTMg9HfwYIN04qOeOBvShNVzWeiOFKYr2eSIi84tUOsnKccjjTT2hvFFjt4gBpzSzoGzw==" saltValue="tFyzGkLrPkc4IcoaOz1WMA==" spinCount="100000" sheet="1" selectLockedCells="1"/>
  <mergeCells count="552">
    <mergeCell ref="O149:P149"/>
    <mergeCell ref="R113:W113"/>
    <mergeCell ref="Z113:AA114"/>
    <mergeCell ref="F114:K114"/>
    <mergeCell ref="L114:Q114"/>
    <mergeCell ref="R114:W114"/>
    <mergeCell ref="Z111:AA112"/>
    <mergeCell ref="Z109:AA109"/>
    <mergeCell ref="F110:K110"/>
    <mergeCell ref="L110:Q110"/>
    <mergeCell ref="R110:W110"/>
    <mergeCell ref="F111:K111"/>
    <mergeCell ref="L111:Q111"/>
    <mergeCell ref="R111:W111"/>
    <mergeCell ref="F112:K112"/>
    <mergeCell ref="L112:Q112"/>
    <mergeCell ref="R112:W112"/>
    <mergeCell ref="I140:J140"/>
    <mergeCell ref="I148:K148"/>
    <mergeCell ref="I149:K149"/>
    <mergeCell ref="I136:J136"/>
    <mergeCell ref="P136:Q136"/>
    <mergeCell ref="C131:G131"/>
    <mergeCell ref="Z141:AA141"/>
    <mergeCell ref="U39:W39"/>
    <mergeCell ref="X39:X41"/>
    <mergeCell ref="I46:K46"/>
    <mergeCell ref="I43:K43"/>
    <mergeCell ref="L43:N43"/>
    <mergeCell ref="O43:Q43"/>
    <mergeCell ref="R43:T43"/>
    <mergeCell ref="E108:E109"/>
    <mergeCell ref="F108:K109"/>
    <mergeCell ref="L108:Q108"/>
    <mergeCell ref="R108:W108"/>
    <mergeCell ref="X108:X109"/>
    <mergeCell ref="L109:Q109"/>
    <mergeCell ref="R109:W109"/>
    <mergeCell ref="U42:W42"/>
    <mergeCell ref="R42:T42"/>
    <mergeCell ref="F40:H40"/>
    <mergeCell ref="U40:W40"/>
    <mergeCell ref="F41:H41"/>
    <mergeCell ref="I41:K41"/>
    <mergeCell ref="L41:N41"/>
    <mergeCell ref="O41:Q41"/>
    <mergeCell ref="R41:T41"/>
    <mergeCell ref="U46:W46"/>
    <mergeCell ref="A9:B12"/>
    <mergeCell ref="W16:X16"/>
    <mergeCell ref="U23:W23"/>
    <mergeCell ref="U24:W24"/>
    <mergeCell ref="I25:K25"/>
    <mergeCell ref="U21:W21"/>
    <mergeCell ref="U26:W26"/>
    <mergeCell ref="R25:T25"/>
    <mergeCell ref="R26:T26"/>
    <mergeCell ref="O25:Q25"/>
    <mergeCell ref="L25:N25"/>
    <mergeCell ref="L26:N26"/>
    <mergeCell ref="U11:W11"/>
    <mergeCell ref="U22:W22"/>
    <mergeCell ref="U47:W47"/>
    <mergeCell ref="U48:W48"/>
    <mergeCell ref="L47:N47"/>
    <mergeCell ref="L48:N48"/>
    <mergeCell ref="O48:Q48"/>
    <mergeCell ref="R48:T48"/>
    <mergeCell ref="O45:Q45"/>
    <mergeCell ref="L46:N46"/>
    <mergeCell ref="O47:Q47"/>
    <mergeCell ref="R45:T45"/>
    <mergeCell ref="R47:T47"/>
    <mergeCell ref="H161:I161"/>
    <mergeCell ref="F136:G136"/>
    <mergeCell ref="H131:Z131"/>
    <mergeCell ref="A161:C161"/>
    <mergeCell ref="AB119:AD119"/>
    <mergeCell ref="C121:D121"/>
    <mergeCell ref="E121:O121"/>
    <mergeCell ref="P121:S121"/>
    <mergeCell ref="T121:V121"/>
    <mergeCell ref="X121:Z121"/>
    <mergeCell ref="R127:V127"/>
    <mergeCell ref="C129:F129"/>
    <mergeCell ref="G129:Z129"/>
    <mergeCell ref="C123:D123"/>
    <mergeCell ref="E123:Z123"/>
    <mergeCell ref="C125:D125"/>
    <mergeCell ref="E125:J125"/>
    <mergeCell ref="P125:R125"/>
    <mergeCell ref="S125:W125"/>
    <mergeCell ref="C119:X119"/>
    <mergeCell ref="Z119:AA119"/>
    <mergeCell ref="F152:G152"/>
    <mergeCell ref="F154:G154"/>
    <mergeCell ref="P154:Q154"/>
    <mergeCell ref="R101:T101"/>
    <mergeCell ref="S154:Y154"/>
    <mergeCell ref="Z154:AA154"/>
    <mergeCell ref="AB154:AD154"/>
    <mergeCell ref="U58:W58"/>
    <mergeCell ref="U59:W59"/>
    <mergeCell ref="L59:N59"/>
    <mergeCell ref="L58:N58"/>
    <mergeCell ref="O59:Q59"/>
    <mergeCell ref="R59:T59"/>
    <mergeCell ref="Z100:AA101"/>
    <mergeCell ref="Z99:AA99"/>
    <mergeCell ref="X97:X98"/>
    <mergeCell ref="U101:W101"/>
    <mergeCell ref="U93:W93"/>
    <mergeCell ref="X103:X104"/>
    <mergeCell ref="L104:Q104"/>
    <mergeCell ref="R104:W104"/>
    <mergeCell ref="L106:Q106"/>
    <mergeCell ref="R106:W106"/>
    <mergeCell ref="R103:W103"/>
    <mergeCell ref="N117:O117"/>
    <mergeCell ref="H87:M87"/>
    <mergeCell ref="N87:P87"/>
    <mergeCell ref="R86:T86"/>
    <mergeCell ref="F87:G87"/>
    <mergeCell ref="C89:E89"/>
    <mergeCell ref="C85:D85"/>
    <mergeCell ref="O85:Q85"/>
    <mergeCell ref="F84:K84"/>
    <mergeCell ref="F85:K85"/>
    <mergeCell ref="L84:N84"/>
    <mergeCell ref="O84:Q84"/>
    <mergeCell ref="Q87:S87"/>
    <mergeCell ref="H88:M88"/>
    <mergeCell ref="F88:G88"/>
    <mergeCell ref="Q88:S88"/>
    <mergeCell ref="L86:N86"/>
    <mergeCell ref="O86:Q86"/>
    <mergeCell ref="F89:H89"/>
    <mergeCell ref="Y1:AA1"/>
    <mergeCell ref="W3:X3"/>
    <mergeCell ref="Y3:AA3"/>
    <mergeCell ref="L24:N24"/>
    <mergeCell ref="O24:Q24"/>
    <mergeCell ref="R24:T24"/>
    <mergeCell ref="L21:N21"/>
    <mergeCell ref="O21:Q21"/>
    <mergeCell ref="O23:Q23"/>
    <mergeCell ref="L23:N23"/>
    <mergeCell ref="X18:X20"/>
    <mergeCell ref="R21:T21"/>
    <mergeCell ref="L22:N22"/>
    <mergeCell ref="O22:Q22"/>
    <mergeCell ref="V4:X4"/>
    <mergeCell ref="Y4:AA4"/>
    <mergeCell ref="O4:P4"/>
    <mergeCell ref="Q4:T4"/>
    <mergeCell ref="I1:R1"/>
    <mergeCell ref="W1:X1"/>
    <mergeCell ref="X6:X8"/>
    <mergeCell ref="U9:W9"/>
    <mergeCell ref="U18:W18"/>
    <mergeCell ref="U19:W19"/>
    <mergeCell ref="Z57:AA57"/>
    <mergeCell ref="Z58:AA59"/>
    <mergeCell ref="R96:W96"/>
    <mergeCell ref="O95:Q95"/>
    <mergeCell ref="R95:T95"/>
    <mergeCell ref="U95:W95"/>
    <mergeCell ref="U91:W91"/>
    <mergeCell ref="R92:W92"/>
    <mergeCell ref="R93:T93"/>
    <mergeCell ref="O91:Q91"/>
    <mergeCell ref="R91:T91"/>
    <mergeCell ref="X95:X96"/>
    <mergeCell ref="X93:X94"/>
    <mergeCell ref="Z84:AA84"/>
    <mergeCell ref="Z85:AA86"/>
    <mergeCell ref="X91:X92"/>
    <mergeCell ref="T88:Z88"/>
    <mergeCell ref="R85:T85"/>
    <mergeCell ref="R84:T84"/>
    <mergeCell ref="N88:P88"/>
    <mergeCell ref="L85:N85"/>
    <mergeCell ref="T87:Z87"/>
    <mergeCell ref="R82:T82"/>
    <mergeCell ref="O83:Q83"/>
    <mergeCell ref="F42:H42"/>
    <mergeCell ref="F24:H24"/>
    <mergeCell ref="F36:H36"/>
    <mergeCell ref="F21:H21"/>
    <mergeCell ref="I59:K59"/>
    <mergeCell ref="R51:T51"/>
    <mergeCell ref="O54:Q54"/>
    <mergeCell ref="U43:W43"/>
    <mergeCell ref="U44:W44"/>
    <mergeCell ref="R44:T44"/>
    <mergeCell ref="U49:W49"/>
    <mergeCell ref="U50:W50"/>
    <mergeCell ref="U51:W51"/>
    <mergeCell ref="U52:W52"/>
    <mergeCell ref="U53:W53"/>
    <mergeCell ref="R46:T46"/>
    <mergeCell ref="R53:T53"/>
    <mergeCell ref="O46:Q46"/>
    <mergeCell ref="F49:H49"/>
    <mergeCell ref="I54:K54"/>
    <mergeCell ref="O50:Q50"/>
    <mergeCell ref="U41:W41"/>
    <mergeCell ref="R39:T39"/>
    <mergeCell ref="U45:W45"/>
    <mergeCell ref="U54:W54"/>
    <mergeCell ref="U55:W55"/>
    <mergeCell ref="U56:W56"/>
    <mergeCell ref="U57:W57"/>
    <mergeCell ref="F50:H50"/>
    <mergeCell ref="I48:K48"/>
    <mergeCell ref="R80:T80"/>
    <mergeCell ref="R83:T83"/>
    <mergeCell ref="F81:H81"/>
    <mergeCell ref="O52:Q52"/>
    <mergeCell ref="R54:T54"/>
    <mergeCell ref="I58:K58"/>
    <mergeCell ref="L83:N83"/>
    <mergeCell ref="O81:Q81"/>
    <mergeCell ref="F82:K82"/>
    <mergeCell ref="F83:K83"/>
    <mergeCell ref="L82:N82"/>
    <mergeCell ref="O82:Q82"/>
    <mergeCell ref="I81:K81"/>
    <mergeCell ref="L81:N81"/>
    <mergeCell ref="I55:K55"/>
    <mergeCell ref="R50:T50"/>
    <mergeCell ref="R49:T49"/>
    <mergeCell ref="I51:K51"/>
    <mergeCell ref="Z37:AA38"/>
    <mergeCell ref="I23:K23"/>
    <mergeCell ref="I22:K22"/>
    <mergeCell ref="I14:K14"/>
    <mergeCell ref="L14:N14"/>
    <mergeCell ref="O14:Q14"/>
    <mergeCell ref="Z11:AA12"/>
    <mergeCell ref="R14:T14"/>
    <mergeCell ref="U13:W13"/>
    <mergeCell ref="U14:W14"/>
    <mergeCell ref="Y16:AA16"/>
    <mergeCell ref="I20:K20"/>
    <mergeCell ref="L20:N20"/>
    <mergeCell ref="O20:Q20"/>
    <mergeCell ref="U12:W12"/>
    <mergeCell ref="I18:N18"/>
    <mergeCell ref="O18:Q18"/>
    <mergeCell ref="R18:T18"/>
    <mergeCell ref="U20:W20"/>
    <mergeCell ref="R22:T22"/>
    <mergeCell ref="I24:K24"/>
    <mergeCell ref="F31:H31"/>
    <mergeCell ref="F33:H33"/>
    <mergeCell ref="Z23:AA23"/>
    <mergeCell ref="Z24:AA25"/>
    <mergeCell ref="R23:T23"/>
    <mergeCell ref="I10:K10"/>
    <mergeCell ref="R20:T20"/>
    <mergeCell ref="U25:W25"/>
    <mergeCell ref="Z36:AA36"/>
    <mergeCell ref="R10:T10"/>
    <mergeCell ref="U10:W10"/>
    <mergeCell ref="Z10:AA10"/>
    <mergeCell ref="L13:N13"/>
    <mergeCell ref="O13:Q13"/>
    <mergeCell ref="R13:T13"/>
    <mergeCell ref="L10:N10"/>
    <mergeCell ref="I12:K12"/>
    <mergeCell ref="L12:N12"/>
    <mergeCell ref="O12:Q12"/>
    <mergeCell ref="R12:T12"/>
    <mergeCell ref="O11:Q11"/>
    <mergeCell ref="R11:T11"/>
    <mergeCell ref="F26:H26"/>
    <mergeCell ref="I8:K8"/>
    <mergeCell ref="L8:N8"/>
    <mergeCell ref="O8:Q8"/>
    <mergeCell ref="I11:K11"/>
    <mergeCell ref="R9:T9"/>
    <mergeCell ref="L11:N11"/>
    <mergeCell ref="C4:D4"/>
    <mergeCell ref="C46:D48"/>
    <mergeCell ref="F10:H10"/>
    <mergeCell ref="L45:N45"/>
    <mergeCell ref="F7:H7"/>
    <mergeCell ref="F8:H8"/>
    <mergeCell ref="F9:H9"/>
    <mergeCell ref="I6:N6"/>
    <mergeCell ref="O6:Q6"/>
    <mergeCell ref="C31:D34"/>
    <mergeCell ref="I21:K21"/>
    <mergeCell ref="I26:K26"/>
    <mergeCell ref="F39:H39"/>
    <mergeCell ref="I39:N39"/>
    <mergeCell ref="O39:Q39"/>
    <mergeCell ref="F20:H20"/>
    <mergeCell ref="I13:K13"/>
    <mergeCell ref="F6:H6"/>
    <mergeCell ref="U6:W6"/>
    <mergeCell ref="U8:W8"/>
    <mergeCell ref="E4:M4"/>
    <mergeCell ref="C13:D14"/>
    <mergeCell ref="C9:D12"/>
    <mergeCell ref="C25:D26"/>
    <mergeCell ref="I9:K9"/>
    <mergeCell ref="L9:N9"/>
    <mergeCell ref="O9:Q9"/>
    <mergeCell ref="O10:Q10"/>
    <mergeCell ref="C21:D24"/>
    <mergeCell ref="F22:H22"/>
    <mergeCell ref="F23:H23"/>
    <mergeCell ref="R6:T6"/>
    <mergeCell ref="R8:T8"/>
    <mergeCell ref="F11:H11"/>
    <mergeCell ref="F12:H12"/>
    <mergeCell ref="F13:H13"/>
    <mergeCell ref="F14:H14"/>
    <mergeCell ref="F18:H18"/>
    <mergeCell ref="F19:H19"/>
    <mergeCell ref="F25:H25"/>
    <mergeCell ref="O26:Q26"/>
    <mergeCell ref="U7:W7"/>
    <mergeCell ref="R56:T56"/>
    <mergeCell ref="O55:Q55"/>
    <mergeCell ref="R55:T55"/>
    <mergeCell ref="R57:T57"/>
    <mergeCell ref="O57:Q57"/>
    <mergeCell ref="I52:K52"/>
    <mergeCell ref="L52:N52"/>
    <mergeCell ref="I53:K53"/>
    <mergeCell ref="F58:H58"/>
    <mergeCell ref="F53:H53"/>
    <mergeCell ref="F54:H54"/>
    <mergeCell ref="F55:H55"/>
    <mergeCell ref="F56:H56"/>
    <mergeCell ref="F57:H57"/>
    <mergeCell ref="F52:H52"/>
    <mergeCell ref="O58:Q58"/>
    <mergeCell ref="L54:N54"/>
    <mergeCell ref="L53:N53"/>
    <mergeCell ref="R52:T52"/>
    <mergeCell ref="R81:T81"/>
    <mergeCell ref="O56:Q56"/>
    <mergeCell ref="O53:Q53"/>
    <mergeCell ref="R58:T58"/>
    <mergeCell ref="A93:B101"/>
    <mergeCell ref="A21:B26"/>
    <mergeCell ref="A42:B59"/>
    <mergeCell ref="C100:D100"/>
    <mergeCell ref="C49:D50"/>
    <mergeCell ref="C57:D59"/>
    <mergeCell ref="C95:D96"/>
    <mergeCell ref="C54:D56"/>
    <mergeCell ref="C51:D53"/>
    <mergeCell ref="A36:E36"/>
    <mergeCell ref="C42:D45"/>
    <mergeCell ref="C84:D84"/>
    <mergeCell ref="C93:D94"/>
    <mergeCell ref="C87:D87"/>
    <mergeCell ref="C97:D98"/>
    <mergeCell ref="C88:D88"/>
    <mergeCell ref="C83:D83"/>
    <mergeCell ref="C101:D101"/>
    <mergeCell ref="C99:D99"/>
    <mergeCell ref="E91:E92"/>
    <mergeCell ref="A81:B89"/>
    <mergeCell ref="C81:D81"/>
    <mergeCell ref="C82:D82"/>
    <mergeCell ref="C86:D86"/>
    <mergeCell ref="R94:W94"/>
    <mergeCell ref="R100:T100"/>
    <mergeCell ref="U100:W100"/>
    <mergeCell ref="F99:K99"/>
    <mergeCell ref="L99:N99"/>
    <mergeCell ref="O99:Q99"/>
    <mergeCell ref="R99:T99"/>
    <mergeCell ref="U99:W99"/>
    <mergeCell ref="L97:N97"/>
    <mergeCell ref="O97:Q97"/>
    <mergeCell ref="R97:T97"/>
    <mergeCell ref="U97:W97"/>
    <mergeCell ref="F98:K98"/>
    <mergeCell ref="R98:W98"/>
    <mergeCell ref="F97:K97"/>
    <mergeCell ref="F100:K100"/>
    <mergeCell ref="L100:N100"/>
    <mergeCell ref="O100:Q100"/>
    <mergeCell ref="L95:N95"/>
    <mergeCell ref="F86:K86"/>
    <mergeCell ref="F80:H80"/>
    <mergeCell ref="I80:K80"/>
    <mergeCell ref="L80:N80"/>
    <mergeCell ref="O80:Q80"/>
    <mergeCell ref="O42:Q42"/>
    <mergeCell ref="I42:K42"/>
    <mergeCell ref="L42:N42"/>
    <mergeCell ref="F59:H59"/>
    <mergeCell ref="F34:H34"/>
    <mergeCell ref="L44:N44"/>
    <mergeCell ref="O44:Q44"/>
    <mergeCell ref="O49:Q49"/>
    <mergeCell ref="L51:N51"/>
    <mergeCell ref="F61:H61"/>
    <mergeCell ref="F62:H62"/>
    <mergeCell ref="F63:H63"/>
    <mergeCell ref="F67:H67"/>
    <mergeCell ref="I44:K44"/>
    <mergeCell ref="I45:K45"/>
    <mergeCell ref="O51:Q51"/>
    <mergeCell ref="I49:K49"/>
    <mergeCell ref="L49:N49"/>
    <mergeCell ref="I50:K50"/>
    <mergeCell ref="L50:N50"/>
    <mergeCell ref="F101:K101"/>
    <mergeCell ref="L101:N101"/>
    <mergeCell ref="O101:Q101"/>
    <mergeCell ref="I91:K91"/>
    <mergeCell ref="F92:K92"/>
    <mergeCell ref="F91:H91"/>
    <mergeCell ref="L93:N93"/>
    <mergeCell ref="O93:Q93"/>
    <mergeCell ref="O92:Q92"/>
    <mergeCell ref="L92:N92"/>
    <mergeCell ref="O94:Q94"/>
    <mergeCell ref="L94:N94"/>
    <mergeCell ref="O98:Q98"/>
    <mergeCell ref="L98:N98"/>
    <mergeCell ref="O96:Q96"/>
    <mergeCell ref="L96:N96"/>
    <mergeCell ref="F96:K96"/>
    <mergeCell ref="F95:K95"/>
    <mergeCell ref="L91:N91"/>
    <mergeCell ref="F93:H93"/>
    <mergeCell ref="I93:K93"/>
    <mergeCell ref="F94:K94"/>
    <mergeCell ref="F150:G150"/>
    <mergeCell ref="F139:G139"/>
    <mergeCell ref="F151:G151"/>
    <mergeCell ref="F137:G137"/>
    <mergeCell ref="F149:G149"/>
    <mergeCell ref="F138:G138"/>
    <mergeCell ref="F148:G148"/>
    <mergeCell ref="F144:G144"/>
    <mergeCell ref="F143:G143"/>
    <mergeCell ref="F140:G140"/>
    <mergeCell ref="F147:G147"/>
    <mergeCell ref="X157:AD157"/>
    <mergeCell ref="I143:J143"/>
    <mergeCell ref="P143:Q143"/>
    <mergeCell ref="Z143:AA143"/>
    <mergeCell ref="AC143:AD143"/>
    <mergeCell ref="P144:Q144"/>
    <mergeCell ref="Z144:AA144"/>
    <mergeCell ref="AC144:AD144"/>
    <mergeCell ref="AB156:AD156"/>
    <mergeCell ref="X156:AA156"/>
    <mergeCell ref="AC151:AD151"/>
    <mergeCell ref="AC152:AD152"/>
    <mergeCell ref="O148:P148"/>
    <mergeCell ref="S147:T147"/>
    <mergeCell ref="Y147:Z147"/>
    <mergeCell ref="S148:T148"/>
    <mergeCell ref="Y148:Z148"/>
    <mergeCell ref="S149:T149"/>
    <mergeCell ref="Y149:Z149"/>
    <mergeCell ref="S150:T150"/>
    <mergeCell ref="Y150:Z150"/>
    <mergeCell ref="S151:T151"/>
    <mergeCell ref="Y151:Z151"/>
    <mergeCell ref="Y152:Z152"/>
    <mergeCell ref="A105:B106"/>
    <mergeCell ref="F103:K104"/>
    <mergeCell ref="C105:D105"/>
    <mergeCell ref="C106:D106"/>
    <mergeCell ref="L105:Q105"/>
    <mergeCell ref="R105:W105"/>
    <mergeCell ref="F105:K105"/>
    <mergeCell ref="F106:K106"/>
    <mergeCell ref="M127:Q127"/>
    <mergeCell ref="L103:Q103"/>
    <mergeCell ref="S116:T117"/>
    <mergeCell ref="N116:O116"/>
    <mergeCell ref="K116:L117"/>
    <mergeCell ref="I117:J117"/>
    <mergeCell ref="P116:Q117"/>
    <mergeCell ref="E103:E104"/>
    <mergeCell ref="U116:V117"/>
    <mergeCell ref="I116:J116"/>
    <mergeCell ref="A110:D114"/>
    <mergeCell ref="F113:K113"/>
    <mergeCell ref="L113:Q113"/>
    <mergeCell ref="P142:Q142"/>
    <mergeCell ref="S142:T142"/>
    <mergeCell ref="Z142:AA142"/>
    <mergeCell ref="P137:Q137"/>
    <mergeCell ref="Z137:AA137"/>
    <mergeCell ref="P138:Q138"/>
    <mergeCell ref="Z138:AA138"/>
    <mergeCell ref="P139:Q139"/>
    <mergeCell ref="S139:T139"/>
    <mergeCell ref="Z139:AA139"/>
    <mergeCell ref="Z104:AA104"/>
    <mergeCell ref="Z105:AA106"/>
    <mergeCell ref="I147:J147"/>
    <mergeCell ref="O147:P147"/>
    <mergeCell ref="F43:H43"/>
    <mergeCell ref="F44:H44"/>
    <mergeCell ref="F45:H45"/>
    <mergeCell ref="F46:H46"/>
    <mergeCell ref="F47:H47"/>
    <mergeCell ref="F48:H48"/>
    <mergeCell ref="I47:K47"/>
    <mergeCell ref="C127:F127"/>
    <mergeCell ref="G127:L127"/>
    <mergeCell ref="L55:N55"/>
    <mergeCell ref="I56:K56"/>
    <mergeCell ref="L56:N56"/>
    <mergeCell ref="I57:K57"/>
    <mergeCell ref="L57:N57"/>
    <mergeCell ref="P140:Q140"/>
    <mergeCell ref="Z140:AA140"/>
    <mergeCell ref="F141:G141"/>
    <mergeCell ref="P141:Q141"/>
    <mergeCell ref="Z136:AA136"/>
    <mergeCell ref="S136:T136"/>
    <mergeCell ref="A61:B78"/>
    <mergeCell ref="C61:D64"/>
    <mergeCell ref="C65:D67"/>
    <mergeCell ref="C70:D72"/>
    <mergeCell ref="F32:H32"/>
    <mergeCell ref="F64:H64"/>
    <mergeCell ref="F65:H65"/>
    <mergeCell ref="F66:H66"/>
    <mergeCell ref="C68:D69"/>
    <mergeCell ref="F68:H68"/>
    <mergeCell ref="F69:H69"/>
    <mergeCell ref="F70:H70"/>
    <mergeCell ref="F71:H71"/>
    <mergeCell ref="F72:H72"/>
    <mergeCell ref="C73:D75"/>
    <mergeCell ref="F73:H73"/>
    <mergeCell ref="F74:H74"/>
    <mergeCell ref="F75:H75"/>
    <mergeCell ref="C76:D78"/>
    <mergeCell ref="F76:H76"/>
    <mergeCell ref="F77:H77"/>
    <mergeCell ref="F78:H78"/>
    <mergeCell ref="F51:H51"/>
    <mergeCell ref="A31:B34"/>
  </mergeCells>
  <phoneticPr fontId="3"/>
  <printOptions horizontalCentered="1"/>
  <pageMargins left="0.28000000000000003" right="0.13" top="0.43" bottom="0.11811023622047245" header="0.42" footer="0.15748031496062992"/>
  <pageSetup paperSize="9" scale="69" fitToHeight="0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8" id="{5ABAA6BF-5FB9-4B85-B1D8-AA9846DA49D9}">
            <xm:f>OR(団体情報・入力の仕方!$C$3="目黒区大会",団体情報・入力の仕方!$C$3="港区大会")</xm:f>
            <x14:dxf>
              <fill>
                <patternFill>
                  <bgColor theme="0" tint="-0.499984740745262"/>
                </patternFill>
              </fill>
            </x14:dxf>
          </x14:cfRule>
          <xm:sqref>A142:G143</xm:sqref>
        </x14:conditionalFormatting>
        <x14:conditionalFormatting xmlns:xm="http://schemas.microsoft.com/office/excel/2006/main">
          <x14:cfRule type="expression" priority="17" id="{E5A92FCA-8DBD-4730-BC05-425F4DCACB00}">
            <xm:f>団体情報・入力の仕方!$C$3&lt;&gt;"大田区大会"</xm:f>
            <x14:dxf>
              <fill>
                <patternFill>
                  <bgColor theme="0" tint="-0.499984740745262"/>
                </patternFill>
              </fill>
            </x14:dxf>
          </x14:cfRule>
          <xm:sqref>A28:XFD34 A61:XFD78</xm:sqref>
        </x14:conditionalFormatting>
        <x14:conditionalFormatting xmlns:xm="http://schemas.microsoft.com/office/excel/2006/main">
          <x14:cfRule type="expression" priority="14" id="{747483E2-3F81-4815-9239-0F530760636F}">
            <xm:f>AND(団体情報・入力の仕方!$C$3&lt;&gt;"港区大会",団体情報・入力の仕方!$C$3&lt;&gt;"大田区大会",団体情報・入力の仕方!$C$3&lt;&gt;"世田谷区大会")</xm:f>
            <x14:dxf>
              <fill>
                <patternFill>
                  <bgColor theme="0" tint="-0.499984740745262"/>
                </patternFill>
              </fill>
            </x14:dxf>
          </x14:cfRule>
          <xm:sqref>A28:XFD38</xm:sqref>
        </x14:conditionalFormatting>
        <x14:conditionalFormatting xmlns:xm="http://schemas.microsoft.com/office/excel/2006/main">
          <x14:cfRule type="expression" priority="28" id="{D6B837BF-28B0-46C8-BD19-86571702F418}">
            <xm:f>(団体情報・入力の仕方!$C$3="小平市大会")</xm:f>
            <x14:dxf>
              <fill>
                <patternFill>
                  <bgColor theme="0" tint="-0.499984740745262"/>
                </patternFill>
              </fill>
            </x14:dxf>
          </x14:cfRule>
          <xm:sqref>A39:XFD59</xm:sqref>
        </x14:conditionalFormatting>
        <x14:conditionalFormatting xmlns:xm="http://schemas.microsoft.com/office/excel/2006/main">
          <x14:cfRule type="expression" priority="27" id="{56C334C5-B35C-44F2-8D22-AEC8EB437C5B}">
            <xm:f>AND(団体情報・入力の仕方!$C$3&lt;&gt;"世田谷区大会",団体情報・入力の仕方!$C$3&lt;&gt;"港区大会")</xm:f>
            <x14:dxf>
              <fill>
                <patternFill>
                  <bgColor theme="0" tint="-0.499984740745262"/>
                </patternFill>
              </fill>
            </x14:dxf>
          </x14:cfRule>
          <xm:sqref>A80:XFD86</xm:sqref>
        </x14:conditionalFormatting>
        <x14:conditionalFormatting xmlns:xm="http://schemas.microsoft.com/office/excel/2006/main">
          <x14:cfRule type="expression" priority="26" id="{4FB3D709-4FD9-4DC2-B8D1-2E0CE6E4FA82}">
            <xm:f>団体情報・入力の仕方!$C$3&lt;&gt;"大田区大会"</xm:f>
            <x14:dxf>
              <fill>
                <patternFill>
                  <bgColor theme="0" tint="-0.499984740745262"/>
                </patternFill>
              </fill>
            </x14:dxf>
          </x14:cfRule>
          <xm:sqref>A91:XFD91 A92:L92 O92 R92:XFD92 A93:XFD93 A94:L94 O94 R94:XFD94 A95:XFD95 A96:L96 O96 R96:XFD96 A97:XFD97 A98:L98 O98 R98:XFD98 A99:XFD101</xm:sqref>
        </x14:conditionalFormatting>
        <x14:conditionalFormatting xmlns:xm="http://schemas.microsoft.com/office/excel/2006/main">
          <x14:cfRule type="expression" priority="25" id="{94E47351-85CB-4D7E-8279-A91A4EC5CC14}">
            <xm:f>団体情報・入力の仕方!$C$3&lt;&gt;"港区大会"</xm:f>
            <x14:dxf>
              <fill>
                <patternFill>
                  <bgColor theme="0" tint="-0.499984740745262"/>
                </patternFill>
              </fill>
            </x14:dxf>
          </x14:cfRule>
          <xm:sqref>A103:XFD106</xm:sqref>
        </x14:conditionalFormatting>
        <x14:conditionalFormatting xmlns:xm="http://schemas.microsoft.com/office/excel/2006/main">
          <x14:cfRule type="expression" priority="13" id="{2F794257-C5FA-47CC-9B93-EEA886C65596}">
            <xm:f>団体情報・入力の仕方!$C$3&lt;&gt;"世田谷区大会"</xm:f>
            <x14:dxf>
              <fill>
                <patternFill>
                  <bgColor theme="0" tint="-0.499984740745262"/>
                </patternFill>
              </fill>
            </x14:dxf>
          </x14:cfRule>
          <xm:sqref>A108:XFD109 A110 E110:XFD110 E111:Z111 AB111:XFD112 E112:Y112 E113:XFD115</xm:sqref>
        </x14:conditionalFormatting>
        <x14:conditionalFormatting xmlns:xm="http://schemas.microsoft.com/office/excel/2006/main">
          <x14:cfRule type="expression" priority="21" id="{E9BF3218-5887-4FA6-895B-44778A07649C}">
            <xm:f>OR(団体情報・入力の仕方!$C$3="目黒区大会",団体情報・入力の仕方!$C$3="小平市大会",団体情報・入力の仕方!$C$3="品川区大会")</xm:f>
            <x14:dxf>
              <fill>
                <patternFill>
                  <bgColor theme="0" tint="-0.499984740745262"/>
                </patternFill>
              </fill>
            </x14:dxf>
          </x14:cfRule>
          <xm:sqref>A146:XFD147 A148:I149 L148:XFD149 A150:XFD152</xm:sqref>
        </x14:conditionalFormatting>
        <x14:conditionalFormatting xmlns:xm="http://schemas.microsoft.com/office/excel/2006/main">
          <x14:cfRule type="expression" priority="24" id="{9501B562-AA63-4D9E-B1F2-F7AB90D9FD46}">
            <xm:f>団体情報・入力の仕方!$C$3="品川区大会"</xm:f>
            <x14:dxf>
              <fill>
                <patternFill>
                  <bgColor theme="0" tint="-0.499984740745262"/>
                </patternFill>
              </fill>
            </x14:dxf>
          </x14:cfRule>
          <xm:sqref>C46:X59 C65:H78</xm:sqref>
        </x14:conditionalFormatting>
        <x14:conditionalFormatting xmlns:xm="http://schemas.microsoft.com/office/excel/2006/main">
          <x14:cfRule type="expression" priority="19" id="{6D8D9D3E-B90C-475B-B7C0-808E54F919C7}">
            <xm:f>団体情報・入力の仕方!$C$3&lt;&gt;"港区大会"</xm:f>
            <x14:dxf>
              <fill>
                <patternFill>
                  <bgColor theme="0" tint="-0.499984740745262"/>
                </patternFill>
              </fill>
            </x14:dxf>
          </x14:cfRule>
          <xm:sqref>I146:P149 L148:P148 I148:I149</xm:sqref>
        </x14:conditionalFormatting>
        <x14:conditionalFormatting xmlns:xm="http://schemas.microsoft.com/office/excel/2006/main">
          <x14:cfRule type="expression" priority="22" id="{43D30B87-A077-4BAC-92DC-0D75CC0E5B44}">
            <xm:f>(団体情報・入力の仕方!$C$3="小平市大会")</xm:f>
            <x14:dxf>
              <fill>
                <patternFill>
                  <bgColor theme="0" tint="-0.499984740745262"/>
                </patternFill>
              </fill>
            </x14:dxf>
          </x14:cfRule>
          <xm:sqref>I135:AA144</xm:sqref>
        </x14:conditionalFormatting>
        <x14:conditionalFormatting xmlns:xm="http://schemas.microsoft.com/office/excel/2006/main">
          <x14:cfRule type="expression" priority="1" id="{BE0AE590-1AD2-4011-A99F-8FEBCC56AB04}">
            <xm:f>団体情報・入力の仕方!$C$3&lt;&gt;"港区大会"</xm:f>
            <x14:dxf>
              <fill>
                <patternFill>
                  <bgColor theme="0" tint="-0.499984740745262"/>
                </patternFill>
              </fill>
            </x14:dxf>
          </x14:cfRule>
          <xm:sqref>N149:P149</xm:sqref>
        </x14:conditionalFormatting>
        <x14:conditionalFormatting xmlns:xm="http://schemas.microsoft.com/office/excel/2006/main">
          <x14:cfRule type="expression" priority="5" id="{11B9E6D6-60E9-4948-A9B4-2169BAF1F948}">
            <xm:f>団体情報・入力の仕方!$C$3&lt;&gt;"世田谷区大会"</xm:f>
            <x14:dxf>
              <fill>
                <patternFill>
                  <bgColor theme="0" tint="-0.499984740745262"/>
                </patternFill>
              </fill>
            </x14:dxf>
          </x14:cfRule>
          <xm:sqref>S146:Z152</xm:sqref>
        </x14:conditionalFormatting>
        <x14:conditionalFormatting xmlns:xm="http://schemas.microsoft.com/office/excel/2006/main">
          <x14:cfRule type="expression" priority="23" id="{19628BF9-19B9-4F6C-814A-150D5AB42D46}">
            <xm:f>団体情報・入力の仕方!$C$3="品川区大会"</xm:f>
            <x14:dxf>
              <fill>
                <patternFill>
                  <bgColor theme="0" tint="-0.499984740745262"/>
                </patternFill>
              </fill>
            </x14:dxf>
          </x14:cfRule>
          <xm:sqref>S136:AA144 I140:Q144</xm:sqref>
        </x14:conditionalFormatting>
        <x14:conditionalFormatting xmlns:xm="http://schemas.microsoft.com/office/excel/2006/main">
          <x14:cfRule type="expression" priority="4" id="{8310E4E4-DFFF-49F1-9F59-C1435678CAD3}">
            <xm:f>団体情報・入力の仕方!$C$3&lt;&gt;"世田谷区大会"</xm:f>
            <x14:dxf>
              <fill>
                <patternFill>
                  <bgColor theme="0" tint="-0.499984740745262"/>
                </patternFill>
              </fill>
            </x14:dxf>
          </x14:cfRule>
          <xm:sqref>V152</xm:sqref>
        </x14:conditionalFormatting>
        <x14:conditionalFormatting xmlns:xm="http://schemas.microsoft.com/office/excel/2006/main">
          <x14:cfRule type="expression" priority="3" id="{C578E48E-66FF-4EB7-9DB4-1A71B662DFC8}">
            <xm:f>団体情報・入力の仕方!$C$3&lt;&gt;"世田谷区大会"</xm:f>
            <x14:dxf>
              <fill>
                <patternFill>
                  <bgColor theme="0" tint="-0.499984740745262"/>
                </patternFill>
              </fill>
            </x14:dxf>
          </x14:cfRule>
          <xm:sqref>X152:Z152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B2:V118"/>
  <sheetViews>
    <sheetView topLeftCell="A14" workbookViewId="0">
      <selection activeCell="D119" sqref="D119"/>
    </sheetView>
  </sheetViews>
  <sheetFormatPr defaultColWidth="10.44140625" defaultRowHeight="13.2" x14ac:dyDescent="0.2"/>
  <cols>
    <col min="1" max="1" width="2.21875" customWidth="1"/>
    <col min="2" max="2" width="11.33203125" customWidth="1"/>
    <col min="3" max="3" width="9" customWidth="1"/>
    <col min="4" max="4" width="11.6640625" bestFit="1" customWidth="1"/>
    <col min="5" max="5" width="12.33203125" bestFit="1" customWidth="1"/>
    <col min="6" max="6" width="13.6640625" bestFit="1" customWidth="1"/>
    <col min="7" max="7" width="10.6640625" customWidth="1"/>
    <col min="8" max="8" width="11.33203125" bestFit="1" customWidth="1"/>
    <col min="9" max="9" width="10.6640625" bestFit="1" customWidth="1"/>
    <col min="10" max="10" width="11.33203125" customWidth="1"/>
    <col min="11" max="11" width="10.33203125" customWidth="1"/>
    <col min="12" max="12" width="11.77734375" bestFit="1" customWidth="1"/>
    <col min="13" max="13" width="10.6640625" customWidth="1"/>
    <col min="14" max="14" width="11" customWidth="1"/>
    <col min="15" max="15" width="8.6640625" customWidth="1"/>
    <col min="16" max="16" width="10.88671875" bestFit="1" customWidth="1"/>
    <col min="17" max="17" width="8.6640625" customWidth="1"/>
    <col min="18" max="18" width="10.88671875" bestFit="1" customWidth="1"/>
    <col min="19" max="19" width="11.109375" customWidth="1"/>
    <col min="20" max="20" width="8.6640625" customWidth="1"/>
    <col min="21" max="22" width="7.33203125" bestFit="1" customWidth="1"/>
    <col min="23" max="239" width="9" customWidth="1"/>
    <col min="240" max="240" width="2.21875" customWidth="1"/>
    <col min="241" max="242" width="9" customWidth="1"/>
    <col min="243" max="243" width="2.21875" customWidth="1"/>
    <col min="244" max="244" width="6" bestFit="1" customWidth="1"/>
    <col min="245" max="246" width="9.44140625" bestFit="1" customWidth="1"/>
    <col min="247" max="247" width="9" bestFit="1" customWidth="1"/>
    <col min="248" max="248" width="10.44140625" bestFit="1" customWidth="1"/>
    <col min="249" max="249" width="12.44140625" bestFit="1" customWidth="1"/>
    <col min="250" max="250" width="12.109375" bestFit="1" customWidth="1"/>
    <col min="251" max="251" width="14" bestFit="1" customWidth="1"/>
    <col min="252" max="252" width="12.109375" bestFit="1" customWidth="1"/>
    <col min="253" max="253" width="14" bestFit="1" customWidth="1"/>
    <col min="254" max="254" width="10.44140625" bestFit="1" customWidth="1"/>
    <col min="255" max="255" width="12.109375" bestFit="1" customWidth="1"/>
  </cols>
  <sheetData>
    <row r="2" spans="2:22" ht="30" customHeight="1" thickBot="1" x14ac:dyDescent="0.25">
      <c r="B2" s="143" t="s">
        <v>35</v>
      </c>
      <c r="D2" s="217" t="s">
        <v>451</v>
      </c>
      <c r="E2" t="s">
        <v>458</v>
      </c>
      <c r="F2" s="216"/>
      <c r="G2" s="216"/>
      <c r="H2" s="216"/>
      <c r="I2" s="216"/>
      <c r="J2" s="216"/>
      <c r="K2" s="216"/>
      <c r="L2" t="s">
        <v>158</v>
      </c>
      <c r="V2" s="1"/>
    </row>
    <row r="3" spans="2:22" ht="13.8" thickTop="1" x14ac:dyDescent="0.2">
      <c r="B3" s="47" t="s">
        <v>151</v>
      </c>
      <c r="D3" s="330" t="s">
        <v>442</v>
      </c>
      <c r="E3" s="331">
        <v>2700</v>
      </c>
      <c r="G3" s="330" t="s">
        <v>701</v>
      </c>
      <c r="H3" s="331">
        <v>5000</v>
      </c>
      <c r="L3" t="s">
        <v>159</v>
      </c>
    </row>
    <row r="4" spans="2:22" ht="13.8" thickBot="1" x14ac:dyDescent="0.25">
      <c r="B4" s="47" t="s">
        <v>152</v>
      </c>
      <c r="D4" s="332" t="s">
        <v>643</v>
      </c>
      <c r="E4" s="427"/>
      <c r="G4" s="332" t="s">
        <v>700</v>
      </c>
      <c r="H4" s="486">
        <v>1000</v>
      </c>
      <c r="L4" t="s">
        <v>160</v>
      </c>
    </row>
    <row r="5" spans="2:22" ht="14.4" thickTop="1" thickBot="1" x14ac:dyDescent="0.25">
      <c r="B5" s="47" t="s">
        <v>153</v>
      </c>
      <c r="D5" s="520" t="s">
        <v>840</v>
      </c>
      <c r="E5" s="521">
        <v>2000</v>
      </c>
      <c r="L5" t="s">
        <v>161</v>
      </c>
    </row>
    <row r="6" spans="2:22" ht="14.4" thickTop="1" thickBot="1" x14ac:dyDescent="0.25">
      <c r="B6" s="47" t="s">
        <v>154</v>
      </c>
      <c r="L6" t="s">
        <v>162</v>
      </c>
    </row>
    <row r="7" spans="2:22" ht="13.8" thickBot="1" x14ac:dyDescent="0.25">
      <c r="B7" s="47" t="s">
        <v>155</v>
      </c>
      <c r="D7" s="340"/>
      <c r="E7" s="341" t="s">
        <v>445</v>
      </c>
      <c r="F7" s="342" t="s">
        <v>446</v>
      </c>
      <c r="G7" s="342" t="s">
        <v>447</v>
      </c>
      <c r="H7" s="342" t="s">
        <v>448</v>
      </c>
      <c r="I7" s="342" t="s">
        <v>449</v>
      </c>
      <c r="J7" s="343" t="s">
        <v>450</v>
      </c>
      <c r="L7" s="49" t="s">
        <v>297</v>
      </c>
    </row>
    <row r="8" spans="2:22" ht="13.8" thickTop="1" x14ac:dyDescent="0.2">
      <c r="B8" s="47" t="s">
        <v>156</v>
      </c>
      <c r="D8" s="336" t="s">
        <v>438</v>
      </c>
      <c r="E8" s="337">
        <v>2700</v>
      </c>
      <c r="F8" s="338"/>
      <c r="G8" s="338"/>
      <c r="H8" s="338"/>
      <c r="I8" s="338"/>
      <c r="J8" s="339"/>
      <c r="M8" t="s">
        <v>163</v>
      </c>
    </row>
    <row r="9" spans="2:22" x14ac:dyDescent="0.2">
      <c r="B9" s="47" t="s">
        <v>157</v>
      </c>
      <c r="D9" s="333" t="s">
        <v>439</v>
      </c>
      <c r="E9" s="1087">
        <v>2700</v>
      </c>
      <c r="F9" s="1088"/>
      <c r="G9" s="1088"/>
      <c r="H9" s="1088"/>
      <c r="I9" s="1089"/>
      <c r="J9" s="334">
        <v>2250</v>
      </c>
      <c r="L9" t="s">
        <v>164</v>
      </c>
    </row>
    <row r="10" spans="2:22" x14ac:dyDescent="0.2">
      <c r="B10" s="47"/>
      <c r="D10" s="333" t="s">
        <v>440</v>
      </c>
      <c r="E10" s="1087">
        <v>4000</v>
      </c>
      <c r="F10" s="1088"/>
      <c r="G10" s="1088"/>
      <c r="H10" s="1088"/>
      <c r="I10" s="1089"/>
      <c r="J10" s="334">
        <v>2750</v>
      </c>
    </row>
    <row r="11" spans="2:22" x14ac:dyDescent="0.2">
      <c r="D11" s="333" t="s">
        <v>441</v>
      </c>
      <c r="E11" s="1087">
        <v>4000</v>
      </c>
      <c r="F11" s="1088"/>
      <c r="G11" s="1088"/>
      <c r="H11" s="1088"/>
      <c r="I11" s="1089"/>
      <c r="J11" s="428">
        <v>2750</v>
      </c>
      <c r="L11" t="s">
        <v>165</v>
      </c>
    </row>
    <row r="12" spans="2:22" x14ac:dyDescent="0.2">
      <c r="D12" s="333" t="s">
        <v>444</v>
      </c>
      <c r="E12" s="1090">
        <v>4500</v>
      </c>
      <c r="F12" s="1091"/>
      <c r="G12" s="1091"/>
      <c r="H12" s="1091"/>
      <c r="I12" s="1092"/>
      <c r="J12" s="428">
        <v>3000</v>
      </c>
      <c r="L12" t="s">
        <v>166</v>
      </c>
    </row>
    <row r="13" spans="2:22" ht="13.8" thickBot="1" x14ac:dyDescent="0.25">
      <c r="D13" s="335" t="s">
        <v>443</v>
      </c>
      <c r="E13" s="1093">
        <v>4500</v>
      </c>
      <c r="F13" s="1094"/>
      <c r="G13" s="1094"/>
      <c r="H13" s="1094"/>
      <c r="I13" s="1095"/>
      <c r="J13" s="429">
        <v>3000</v>
      </c>
      <c r="L13" t="s">
        <v>167</v>
      </c>
    </row>
    <row r="14" spans="2:22" ht="13.8" thickBot="1" x14ac:dyDescent="0.25">
      <c r="L14" t="s">
        <v>168</v>
      </c>
      <c r="M14" t="s">
        <v>169</v>
      </c>
    </row>
    <row r="15" spans="2:22" ht="14.4" thickTop="1" thickBot="1" x14ac:dyDescent="0.25">
      <c r="D15" s="242" t="s">
        <v>470</v>
      </c>
      <c r="G15" s="556" t="s">
        <v>882</v>
      </c>
      <c r="H15" s="557">
        <v>500</v>
      </c>
      <c r="M15" t="s">
        <v>170</v>
      </c>
    </row>
    <row r="16" spans="2:22" ht="14.4" thickTop="1" thickBot="1" x14ac:dyDescent="0.25">
      <c r="D16" s="243">
        <v>46113</v>
      </c>
      <c r="E16" t="s">
        <v>469</v>
      </c>
      <c r="G16" s="558" t="s">
        <v>887</v>
      </c>
      <c r="H16" s="559"/>
      <c r="M16" t="s">
        <v>171</v>
      </c>
    </row>
    <row r="17" spans="2:19" ht="13.5" customHeight="1" thickTop="1" x14ac:dyDescent="0.2">
      <c r="M17" t="s">
        <v>172</v>
      </c>
      <c r="S17" t="s">
        <v>175</v>
      </c>
    </row>
    <row r="18" spans="2:19" ht="13.8" thickBot="1" x14ac:dyDescent="0.25">
      <c r="D18" s="242" t="s">
        <v>545</v>
      </c>
      <c r="M18" t="s">
        <v>173</v>
      </c>
    </row>
    <row r="19" spans="2:19" ht="13.8" thickBot="1" x14ac:dyDescent="0.25">
      <c r="D19" s="344"/>
      <c r="M19" t="s">
        <v>174</v>
      </c>
    </row>
    <row r="21" spans="2:19" ht="25.5" customHeight="1" x14ac:dyDescent="0.2">
      <c r="B21" t="s">
        <v>284</v>
      </c>
    </row>
    <row r="22" spans="2:19" ht="13.8" thickBot="1" x14ac:dyDescent="0.25">
      <c r="B22" s="1"/>
      <c r="C22" s="1">
        <v>1</v>
      </c>
      <c r="D22" s="1">
        <v>2</v>
      </c>
      <c r="E22" s="1">
        <v>3</v>
      </c>
      <c r="F22" s="1">
        <v>4</v>
      </c>
      <c r="G22" s="1">
        <v>5</v>
      </c>
      <c r="H22" s="1">
        <v>6</v>
      </c>
      <c r="I22" s="1">
        <v>7</v>
      </c>
    </row>
    <row r="23" spans="2:19" ht="13.8" thickBot="1" x14ac:dyDescent="0.25">
      <c r="B23" s="52" t="s">
        <v>28</v>
      </c>
      <c r="C23" s="50" t="s">
        <v>322</v>
      </c>
      <c r="D23" s="51" t="s">
        <v>176</v>
      </c>
      <c r="E23" s="51" t="s">
        <v>177</v>
      </c>
      <c r="F23" s="51" t="s">
        <v>203</v>
      </c>
      <c r="G23" s="51" t="s">
        <v>204</v>
      </c>
      <c r="H23" s="198" t="s">
        <v>430</v>
      </c>
      <c r="I23" s="198" t="s">
        <v>431</v>
      </c>
    </row>
    <row r="24" spans="2:19" ht="14.25" customHeight="1" thickTop="1" x14ac:dyDescent="0.2">
      <c r="B24" s="48">
        <v>6</v>
      </c>
      <c r="C24" s="224">
        <v>6</v>
      </c>
      <c r="D24" s="14" t="s">
        <v>197</v>
      </c>
      <c r="E24" s="14" t="s">
        <v>179</v>
      </c>
      <c r="F24" s="14" t="s">
        <v>182</v>
      </c>
      <c r="G24" s="14" t="s">
        <v>183</v>
      </c>
      <c r="H24" s="14" t="s">
        <v>205</v>
      </c>
      <c r="I24" s="54" t="s">
        <v>422</v>
      </c>
    </row>
    <row r="25" spans="2:19" ht="13.5" customHeight="1" x14ac:dyDescent="0.2">
      <c r="B25" s="48">
        <v>7</v>
      </c>
      <c r="C25" s="224">
        <v>9</v>
      </c>
      <c r="D25" s="14" t="s">
        <v>198</v>
      </c>
      <c r="E25" s="14" t="s">
        <v>184</v>
      </c>
      <c r="F25" s="14" t="s">
        <v>185</v>
      </c>
      <c r="G25" s="14" t="s">
        <v>186</v>
      </c>
      <c r="H25" s="14" t="s">
        <v>206</v>
      </c>
      <c r="I25" s="54" t="s">
        <v>423</v>
      </c>
    </row>
    <row r="26" spans="2:19" ht="13.5" customHeight="1" x14ac:dyDescent="0.2">
      <c r="B26" s="48">
        <v>8</v>
      </c>
      <c r="C26" s="224">
        <v>9</v>
      </c>
      <c r="D26" s="14"/>
      <c r="E26" s="14"/>
      <c r="F26" s="14"/>
      <c r="G26" s="14"/>
      <c r="H26" s="14"/>
      <c r="I26" s="54"/>
    </row>
    <row r="27" spans="2:19" ht="13.5" customHeight="1" x14ac:dyDescent="0.2">
      <c r="B27" s="48">
        <v>9</v>
      </c>
      <c r="C27" s="224">
        <v>9</v>
      </c>
      <c r="D27" s="14"/>
      <c r="E27" s="14"/>
      <c r="F27" s="14"/>
      <c r="G27" s="14"/>
      <c r="H27" s="14"/>
      <c r="I27" s="54"/>
    </row>
    <row r="28" spans="2:19" ht="13.5" customHeight="1" x14ac:dyDescent="0.2">
      <c r="B28" s="48">
        <v>10</v>
      </c>
      <c r="C28" s="224">
        <v>12</v>
      </c>
      <c r="D28" s="14" t="s">
        <v>199</v>
      </c>
      <c r="E28" s="14" t="s">
        <v>180</v>
      </c>
      <c r="F28" s="14" t="s">
        <v>187</v>
      </c>
      <c r="G28" s="14" t="s">
        <v>188</v>
      </c>
      <c r="H28" s="14" t="s">
        <v>207</v>
      </c>
      <c r="I28" s="54" t="s">
        <v>424</v>
      </c>
    </row>
    <row r="29" spans="2:19" ht="13.5" customHeight="1" x14ac:dyDescent="0.2">
      <c r="B29" s="48">
        <v>11</v>
      </c>
      <c r="C29" s="224">
        <v>12</v>
      </c>
      <c r="D29" s="14"/>
      <c r="E29" s="14"/>
      <c r="F29" s="14"/>
      <c r="G29" s="14"/>
      <c r="H29" s="14"/>
      <c r="I29" s="54"/>
    </row>
    <row r="30" spans="2:19" ht="13.5" customHeight="1" x14ac:dyDescent="0.2">
      <c r="B30" s="48">
        <v>12</v>
      </c>
      <c r="C30" s="224">
        <v>12</v>
      </c>
      <c r="D30" s="14"/>
      <c r="E30" s="14"/>
      <c r="F30" s="14"/>
      <c r="G30" s="14"/>
      <c r="H30" s="14"/>
      <c r="I30" s="54"/>
    </row>
    <row r="31" spans="2:19" ht="13.5" customHeight="1" x14ac:dyDescent="0.2">
      <c r="B31" s="48">
        <v>13</v>
      </c>
      <c r="C31" s="224">
        <v>15</v>
      </c>
      <c r="D31" s="14" t="s">
        <v>200</v>
      </c>
      <c r="E31" s="14" t="s">
        <v>181</v>
      </c>
      <c r="F31" s="14" t="s">
        <v>189</v>
      </c>
      <c r="G31" s="14" t="s">
        <v>190</v>
      </c>
      <c r="H31" s="14" t="s">
        <v>208</v>
      </c>
      <c r="I31" s="54" t="s">
        <v>425</v>
      </c>
    </row>
    <row r="32" spans="2:19" ht="13.5" customHeight="1" x14ac:dyDescent="0.2">
      <c r="B32" s="48">
        <v>14</v>
      </c>
      <c r="C32" s="224">
        <v>15</v>
      </c>
      <c r="D32" s="14"/>
      <c r="E32" s="14"/>
      <c r="F32" s="14"/>
      <c r="G32" s="14"/>
      <c r="H32" s="14"/>
      <c r="I32" s="54"/>
    </row>
    <row r="33" spans="2:21" ht="13.5" customHeight="1" x14ac:dyDescent="0.2">
      <c r="B33" s="48">
        <v>15</v>
      </c>
      <c r="C33" s="224">
        <v>15</v>
      </c>
      <c r="D33" s="14"/>
      <c r="E33" s="14"/>
      <c r="F33" s="14"/>
      <c r="G33" s="14"/>
      <c r="H33" s="14"/>
      <c r="I33" s="54"/>
    </row>
    <row r="34" spans="2:21" ht="13.5" customHeight="1" x14ac:dyDescent="0.2">
      <c r="B34" s="48">
        <v>16</v>
      </c>
      <c r="C34" s="224">
        <v>18</v>
      </c>
      <c r="D34" s="14" t="s">
        <v>201</v>
      </c>
      <c r="E34" s="14" t="s">
        <v>191</v>
      </c>
      <c r="F34" s="14" t="s">
        <v>192</v>
      </c>
      <c r="G34" s="14" t="s">
        <v>193</v>
      </c>
      <c r="H34" s="14" t="s">
        <v>209</v>
      </c>
      <c r="I34" s="54" t="s">
        <v>426</v>
      </c>
    </row>
    <row r="35" spans="2:21" ht="13.5" customHeight="1" x14ac:dyDescent="0.2">
      <c r="B35" s="48">
        <v>17</v>
      </c>
      <c r="C35" s="224">
        <v>18</v>
      </c>
      <c r="D35" s="14"/>
      <c r="E35" s="14"/>
      <c r="F35" s="14"/>
      <c r="G35" s="14"/>
      <c r="H35" s="14"/>
      <c r="I35" s="54"/>
    </row>
    <row r="36" spans="2:21" ht="13.5" customHeight="1" x14ac:dyDescent="0.2">
      <c r="B36" s="48">
        <v>18</v>
      </c>
      <c r="C36" s="224">
        <v>18</v>
      </c>
      <c r="D36" s="14"/>
      <c r="E36" s="14"/>
      <c r="F36" s="14"/>
      <c r="G36" s="14"/>
      <c r="H36" s="14"/>
      <c r="I36" s="54"/>
    </row>
    <row r="37" spans="2:21" ht="13.5" customHeight="1" x14ac:dyDescent="0.2">
      <c r="B37" s="48">
        <v>19</v>
      </c>
      <c r="C37" s="224">
        <v>19</v>
      </c>
      <c r="D37" s="14" t="s">
        <v>202</v>
      </c>
      <c r="E37" s="14" t="s">
        <v>194</v>
      </c>
      <c r="F37" s="14" t="s">
        <v>195</v>
      </c>
      <c r="G37" s="14" t="s">
        <v>196</v>
      </c>
      <c r="H37" s="14" t="s">
        <v>210</v>
      </c>
      <c r="I37" s="54" t="s">
        <v>427</v>
      </c>
    </row>
    <row r="38" spans="2:21" ht="13.5" customHeight="1" x14ac:dyDescent="0.2"/>
    <row r="39" spans="2:21" ht="27.75" customHeight="1" x14ac:dyDescent="0.2">
      <c r="B39" t="s">
        <v>285</v>
      </c>
      <c r="D39" s="183"/>
      <c r="E39" s="183"/>
      <c r="F39" s="183"/>
      <c r="G39" s="183"/>
      <c r="H39" s="183"/>
      <c r="I39" s="183"/>
      <c r="J39" s="183"/>
      <c r="K39" s="183"/>
      <c r="L39" s="183"/>
      <c r="M39" s="183"/>
      <c r="N39" s="183"/>
      <c r="O39" s="183"/>
      <c r="P39" s="183"/>
      <c r="Q39" s="183"/>
      <c r="R39" s="183"/>
      <c r="S39" s="183"/>
      <c r="T39" s="183"/>
      <c r="U39" s="183"/>
    </row>
    <row r="40" spans="2:21" x14ac:dyDescent="0.2">
      <c r="C40" s="191">
        <v>1</v>
      </c>
      <c r="D40" s="183">
        <v>2</v>
      </c>
      <c r="E40" s="191">
        <v>3</v>
      </c>
      <c r="F40" s="183">
        <v>4</v>
      </c>
      <c r="G40" s="191">
        <v>5</v>
      </c>
      <c r="H40" s="183">
        <v>6</v>
      </c>
      <c r="I40" s="191">
        <v>7</v>
      </c>
      <c r="J40" s="183">
        <v>8</v>
      </c>
      <c r="K40" s="191">
        <v>9</v>
      </c>
      <c r="L40" s="183">
        <v>10</v>
      </c>
      <c r="M40" s="191">
        <v>11</v>
      </c>
      <c r="N40" s="183">
        <v>12</v>
      </c>
      <c r="O40" s="191">
        <v>13</v>
      </c>
      <c r="P40" s="183">
        <v>14</v>
      </c>
      <c r="Q40" s="191">
        <v>15</v>
      </c>
      <c r="R40" s="183">
        <v>16</v>
      </c>
      <c r="S40" s="191">
        <v>17</v>
      </c>
      <c r="T40" s="183">
        <v>18</v>
      </c>
      <c r="U40" s="191">
        <v>19</v>
      </c>
    </row>
    <row r="41" spans="2:21" ht="13.8" thickBot="1" x14ac:dyDescent="0.25">
      <c r="B41" s="1"/>
      <c r="C41" s="1"/>
      <c r="D41" s="1096" t="s">
        <v>16</v>
      </c>
      <c r="E41" s="1096"/>
      <c r="F41" s="1096"/>
      <c r="G41" s="1096"/>
      <c r="H41" s="1096" t="s">
        <v>19</v>
      </c>
      <c r="I41" s="1096"/>
      <c r="J41" s="1096"/>
      <c r="K41" s="1096" t="s">
        <v>30</v>
      </c>
      <c r="L41" s="1096"/>
      <c r="M41" s="1096" t="s">
        <v>20</v>
      </c>
      <c r="N41" s="1096"/>
      <c r="O41" s="1096"/>
      <c r="P41" s="1096" t="s">
        <v>31</v>
      </c>
      <c r="Q41" s="1096"/>
      <c r="R41" s="1096"/>
      <c r="S41" s="1096" t="s">
        <v>32</v>
      </c>
      <c r="T41" s="1096"/>
      <c r="U41" s="1096"/>
    </row>
    <row r="42" spans="2:21" ht="13.8" thickBot="1" x14ac:dyDescent="0.25">
      <c r="B42" s="52" t="s">
        <v>28</v>
      </c>
      <c r="C42" s="50" t="s">
        <v>322</v>
      </c>
      <c r="D42" s="182" t="s">
        <v>40</v>
      </c>
      <c r="E42" s="182" t="s">
        <v>42</v>
      </c>
      <c r="F42" s="182" t="s">
        <v>44</v>
      </c>
      <c r="G42" s="182" t="s">
        <v>46</v>
      </c>
      <c r="H42" s="182" t="s">
        <v>42</v>
      </c>
      <c r="I42" s="182" t="s">
        <v>44</v>
      </c>
      <c r="J42" s="182" t="s">
        <v>46</v>
      </c>
      <c r="K42" s="182" t="s">
        <v>42</v>
      </c>
      <c r="L42" s="182" t="s">
        <v>46</v>
      </c>
      <c r="M42" s="182" t="s">
        <v>42</v>
      </c>
      <c r="N42" s="182" t="s">
        <v>44</v>
      </c>
      <c r="O42" s="182" t="s">
        <v>46</v>
      </c>
      <c r="P42" s="182" t="s">
        <v>42</v>
      </c>
      <c r="Q42" s="182" t="s">
        <v>44</v>
      </c>
      <c r="R42" s="182" t="s">
        <v>46</v>
      </c>
      <c r="S42" s="182" t="s">
        <v>42</v>
      </c>
      <c r="T42" s="182" t="s">
        <v>44</v>
      </c>
      <c r="U42" s="182" t="s">
        <v>46</v>
      </c>
    </row>
    <row r="43" spans="2:21" ht="13.8" thickTop="1" x14ac:dyDescent="0.2">
      <c r="B43" s="48">
        <v>6</v>
      </c>
      <c r="C43" s="224">
        <v>6</v>
      </c>
      <c r="D43" s="21" t="s">
        <v>559</v>
      </c>
      <c r="E43" s="21" t="s">
        <v>565</v>
      </c>
      <c r="F43" s="401" t="s">
        <v>561</v>
      </c>
      <c r="G43" s="401" t="s">
        <v>563</v>
      </c>
      <c r="H43" s="14"/>
      <c r="I43" s="14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</row>
    <row r="44" spans="2:21" x14ac:dyDescent="0.2">
      <c r="B44" s="48">
        <v>7</v>
      </c>
      <c r="C44" s="224">
        <v>9</v>
      </c>
      <c r="D44" s="21" t="s">
        <v>560</v>
      </c>
      <c r="E44" s="21" t="s">
        <v>564</v>
      </c>
      <c r="F44" s="401" t="s">
        <v>562</v>
      </c>
      <c r="G44" s="401" t="s">
        <v>566</v>
      </c>
      <c r="H44" s="401" t="s">
        <v>567</v>
      </c>
      <c r="I44" s="14" t="s">
        <v>568</v>
      </c>
      <c r="J44" s="401" t="s">
        <v>569</v>
      </c>
      <c r="K44" s="401" t="s">
        <v>570</v>
      </c>
      <c r="L44" s="401" t="s">
        <v>571</v>
      </c>
      <c r="M44" s="401" t="s">
        <v>572</v>
      </c>
      <c r="N44" s="401" t="s">
        <v>573</v>
      </c>
      <c r="O44" s="401" t="s">
        <v>574</v>
      </c>
      <c r="P44" s="401" t="s">
        <v>575</v>
      </c>
      <c r="Q44" s="21" t="s">
        <v>576</v>
      </c>
      <c r="R44" s="21" t="s">
        <v>577</v>
      </c>
      <c r="S44" s="21" t="s">
        <v>460</v>
      </c>
      <c r="T44" s="21" t="s">
        <v>461</v>
      </c>
      <c r="U44" s="21" t="s">
        <v>462</v>
      </c>
    </row>
    <row r="45" spans="2:21" x14ac:dyDescent="0.2">
      <c r="B45" s="48">
        <v>8</v>
      </c>
      <c r="C45" s="224">
        <v>9</v>
      </c>
      <c r="D45" s="21"/>
      <c r="E45" s="21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21"/>
      <c r="R45" s="21"/>
      <c r="S45" s="21"/>
      <c r="T45" s="21"/>
      <c r="U45" s="21"/>
    </row>
    <row r="46" spans="2:21" x14ac:dyDescent="0.2">
      <c r="B46" s="48">
        <v>9</v>
      </c>
      <c r="C46" s="224">
        <v>9</v>
      </c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</row>
    <row r="47" spans="2:21" x14ac:dyDescent="0.2">
      <c r="B47" s="48">
        <v>10</v>
      </c>
      <c r="C47" s="224">
        <v>12</v>
      </c>
      <c r="D47" s="21" t="s">
        <v>337</v>
      </c>
      <c r="E47" s="21" t="s">
        <v>341</v>
      </c>
      <c r="F47" s="21" t="s">
        <v>345</v>
      </c>
      <c r="G47" s="21" t="s">
        <v>349</v>
      </c>
      <c r="H47" s="21" t="s">
        <v>353</v>
      </c>
      <c r="I47" s="21" t="s">
        <v>354</v>
      </c>
      <c r="J47" s="21" t="s">
        <v>355</v>
      </c>
      <c r="K47" s="21" t="s">
        <v>365</v>
      </c>
      <c r="L47" s="21" t="s">
        <v>366</v>
      </c>
      <c r="M47" s="21" t="s">
        <v>385</v>
      </c>
      <c r="N47" s="21" t="s">
        <v>386</v>
      </c>
      <c r="O47" s="21" t="s">
        <v>387</v>
      </c>
      <c r="P47" s="21" t="s">
        <v>397</v>
      </c>
      <c r="Q47" s="21" t="s">
        <v>398</v>
      </c>
      <c r="R47" s="21" t="s">
        <v>399</v>
      </c>
      <c r="S47" s="21" t="s">
        <v>373</v>
      </c>
      <c r="T47" s="21" t="s">
        <v>374</v>
      </c>
      <c r="U47" s="21" t="s">
        <v>375</v>
      </c>
    </row>
    <row r="48" spans="2:21" x14ac:dyDescent="0.2">
      <c r="B48" s="48">
        <v>11</v>
      </c>
      <c r="C48" s="224">
        <v>12</v>
      </c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</row>
    <row r="49" spans="2:21" x14ac:dyDescent="0.2">
      <c r="B49" s="48">
        <v>12</v>
      </c>
      <c r="C49" s="224">
        <v>12</v>
      </c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</row>
    <row r="50" spans="2:21" x14ac:dyDescent="0.2">
      <c r="B50" s="48">
        <v>13</v>
      </c>
      <c r="C50" s="224">
        <v>15</v>
      </c>
      <c r="D50" s="21" t="s">
        <v>338</v>
      </c>
      <c r="E50" s="21" t="s">
        <v>342</v>
      </c>
      <c r="F50" s="21" t="s">
        <v>346</v>
      </c>
      <c r="G50" s="21" t="s">
        <v>350</v>
      </c>
      <c r="H50" s="21" t="s">
        <v>356</v>
      </c>
      <c r="I50" s="21" t="s">
        <v>357</v>
      </c>
      <c r="J50" s="21" t="s">
        <v>358</v>
      </c>
      <c r="K50" s="21" t="s">
        <v>367</v>
      </c>
      <c r="L50" s="21" t="s">
        <v>368</v>
      </c>
      <c r="M50" s="21" t="s">
        <v>388</v>
      </c>
      <c r="N50" s="21" t="s">
        <v>389</v>
      </c>
      <c r="O50" s="21" t="s">
        <v>390</v>
      </c>
      <c r="P50" s="21" t="s">
        <v>400</v>
      </c>
      <c r="Q50" s="21" t="s">
        <v>401</v>
      </c>
      <c r="R50" s="21" t="s">
        <v>402</v>
      </c>
      <c r="S50" s="21" t="s">
        <v>376</v>
      </c>
      <c r="T50" s="21" t="s">
        <v>377</v>
      </c>
      <c r="U50" s="21" t="s">
        <v>378</v>
      </c>
    </row>
    <row r="51" spans="2:21" x14ac:dyDescent="0.2">
      <c r="B51" s="48">
        <v>14</v>
      </c>
      <c r="C51" s="224">
        <v>15</v>
      </c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</row>
    <row r="52" spans="2:21" x14ac:dyDescent="0.2">
      <c r="B52" s="48">
        <v>15</v>
      </c>
      <c r="C52" s="224">
        <v>15</v>
      </c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</row>
    <row r="53" spans="2:21" x14ac:dyDescent="0.2">
      <c r="B53" s="48">
        <v>16</v>
      </c>
      <c r="C53" s="224">
        <v>18</v>
      </c>
      <c r="D53" s="21" t="s">
        <v>339</v>
      </c>
      <c r="E53" s="21" t="s">
        <v>343</v>
      </c>
      <c r="F53" s="21" t="s">
        <v>347</v>
      </c>
      <c r="G53" s="21" t="s">
        <v>351</v>
      </c>
      <c r="H53" s="21" t="s">
        <v>359</v>
      </c>
      <c r="I53" s="21" t="s">
        <v>360</v>
      </c>
      <c r="J53" s="21" t="s">
        <v>361</v>
      </c>
      <c r="K53" s="21" t="s">
        <v>369</v>
      </c>
      <c r="L53" s="21" t="s">
        <v>370</v>
      </c>
      <c r="M53" s="21" t="s">
        <v>391</v>
      </c>
      <c r="N53" s="21" t="s">
        <v>392</v>
      </c>
      <c r="O53" s="21" t="s">
        <v>393</v>
      </c>
      <c r="P53" s="21" t="s">
        <v>403</v>
      </c>
      <c r="Q53" s="21" t="s">
        <v>404</v>
      </c>
      <c r="R53" s="21" t="s">
        <v>405</v>
      </c>
      <c r="S53" s="21" t="s">
        <v>379</v>
      </c>
      <c r="T53" s="21" t="s">
        <v>380</v>
      </c>
      <c r="U53" s="21" t="s">
        <v>381</v>
      </c>
    </row>
    <row r="54" spans="2:21" x14ac:dyDescent="0.2">
      <c r="B54" s="48">
        <v>17</v>
      </c>
      <c r="C54" s="224">
        <v>18</v>
      </c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</row>
    <row r="55" spans="2:21" x14ac:dyDescent="0.2">
      <c r="B55" s="48">
        <v>18</v>
      </c>
      <c r="C55" s="224">
        <v>18</v>
      </c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</row>
    <row r="56" spans="2:21" x14ac:dyDescent="0.2">
      <c r="B56" s="48">
        <v>19</v>
      </c>
      <c r="C56" s="224">
        <v>19</v>
      </c>
      <c r="D56" s="21" t="s">
        <v>340</v>
      </c>
      <c r="E56" s="21" t="s">
        <v>344</v>
      </c>
      <c r="F56" s="21" t="s">
        <v>348</v>
      </c>
      <c r="G56" s="21" t="s">
        <v>352</v>
      </c>
      <c r="H56" s="21" t="s">
        <v>362</v>
      </c>
      <c r="I56" s="21" t="s">
        <v>363</v>
      </c>
      <c r="J56" s="21" t="s">
        <v>364</v>
      </c>
      <c r="K56" s="21" t="s">
        <v>371</v>
      </c>
      <c r="L56" s="21" t="s">
        <v>372</v>
      </c>
      <c r="M56" s="21" t="s">
        <v>394</v>
      </c>
      <c r="N56" s="21" t="s">
        <v>395</v>
      </c>
      <c r="O56" s="21" t="s">
        <v>396</v>
      </c>
      <c r="P56" s="21" t="s">
        <v>406</v>
      </c>
      <c r="Q56" s="21" t="s">
        <v>407</v>
      </c>
      <c r="R56" s="21" t="s">
        <v>408</v>
      </c>
      <c r="S56" s="21" t="s">
        <v>382</v>
      </c>
      <c r="T56" s="21" t="s">
        <v>383</v>
      </c>
      <c r="U56" s="21" t="s">
        <v>384</v>
      </c>
    </row>
    <row r="58" spans="2:21" ht="24" customHeight="1" x14ac:dyDescent="0.2">
      <c r="B58" t="s">
        <v>327</v>
      </c>
    </row>
    <row r="59" spans="2:21" x14ac:dyDescent="0.2">
      <c r="B59" t="s">
        <v>466</v>
      </c>
      <c r="C59" t="s">
        <v>467</v>
      </c>
    </row>
    <row r="60" spans="2:21" ht="13.8" thickBot="1" x14ac:dyDescent="0.25">
      <c r="C60" s="225" t="s">
        <v>435</v>
      </c>
    </row>
    <row r="61" spans="2:21" ht="14.4" thickTop="1" thickBot="1" x14ac:dyDescent="0.25">
      <c r="B61" s="226"/>
      <c r="C61" s="227"/>
      <c r="D61" t="s">
        <v>468</v>
      </c>
    </row>
    <row r="62" spans="2:21" ht="13.8" thickTop="1" x14ac:dyDescent="0.2"/>
    <row r="63" spans="2:21" ht="13.8" thickBot="1" x14ac:dyDescent="0.25">
      <c r="B63" t="s">
        <v>452</v>
      </c>
      <c r="D63">
        <v>1</v>
      </c>
      <c r="E63">
        <v>2</v>
      </c>
      <c r="F63">
        <v>3</v>
      </c>
      <c r="G63">
        <v>4</v>
      </c>
      <c r="H63">
        <v>5</v>
      </c>
      <c r="I63">
        <v>6</v>
      </c>
      <c r="J63">
        <v>7</v>
      </c>
      <c r="K63">
        <v>8</v>
      </c>
      <c r="L63">
        <v>9</v>
      </c>
      <c r="M63">
        <v>10</v>
      </c>
      <c r="S63" s="507"/>
    </row>
    <row r="64" spans="2:21" ht="13.8" thickBot="1" x14ac:dyDescent="0.25">
      <c r="C64" s="225" t="s">
        <v>435</v>
      </c>
      <c r="D64" t="s">
        <v>479</v>
      </c>
      <c r="E64" s="199" t="s">
        <v>453</v>
      </c>
      <c r="F64" s="199" t="s">
        <v>454</v>
      </c>
      <c r="G64" s="199" t="s">
        <v>455</v>
      </c>
      <c r="H64" s="200" t="s">
        <v>145</v>
      </c>
      <c r="I64" s="200" t="s">
        <v>434</v>
      </c>
      <c r="J64" s="200" t="s">
        <v>433</v>
      </c>
      <c r="L64" s="252" t="s">
        <v>475</v>
      </c>
      <c r="M64" s="307" t="s">
        <v>476</v>
      </c>
      <c r="S64" s="507"/>
    </row>
    <row r="65" spans="2:19" ht="13.8" thickTop="1" x14ac:dyDescent="0.2">
      <c r="B65" s="232">
        <v>43556</v>
      </c>
      <c r="C65" s="254">
        <v>43556</v>
      </c>
      <c r="D65" s="230">
        <v>1</v>
      </c>
      <c r="E65" s="201" t="s">
        <v>733</v>
      </c>
      <c r="F65" s="201" t="s">
        <v>739</v>
      </c>
      <c r="G65" s="201" t="s">
        <v>740</v>
      </c>
      <c r="H65" s="201" t="s">
        <v>741</v>
      </c>
      <c r="I65" s="204" t="s">
        <v>742</v>
      </c>
      <c r="J65" s="201" t="s">
        <v>743</v>
      </c>
      <c r="L65" s="201" t="s">
        <v>760</v>
      </c>
      <c r="M65" s="201" t="s">
        <v>745</v>
      </c>
      <c r="P65" s="507">
        <v>43556</v>
      </c>
      <c r="Q65">
        <v>43556</v>
      </c>
      <c r="S65" s="507"/>
    </row>
    <row r="66" spans="2:19" x14ac:dyDescent="0.2">
      <c r="B66" s="234" t="s">
        <v>722</v>
      </c>
      <c r="C66" s="255" t="s">
        <v>722</v>
      </c>
      <c r="D66" s="215"/>
      <c r="E66" s="205"/>
      <c r="F66" s="205"/>
      <c r="G66" s="205"/>
      <c r="H66" s="205"/>
      <c r="I66" s="208"/>
      <c r="J66" s="205"/>
      <c r="L66" s="205"/>
      <c r="M66" s="205"/>
      <c r="P66" s="507" t="s">
        <v>722</v>
      </c>
      <c r="Q66" t="s">
        <v>722</v>
      </c>
      <c r="S66" s="507"/>
    </row>
    <row r="67" spans="2:19" x14ac:dyDescent="0.2">
      <c r="B67" s="236">
        <v>42462</v>
      </c>
      <c r="C67" s="256">
        <v>42462</v>
      </c>
      <c r="D67" s="231"/>
      <c r="E67" s="209"/>
      <c r="F67" s="205"/>
      <c r="G67" s="205"/>
      <c r="H67" s="205"/>
      <c r="I67" s="208"/>
      <c r="J67" s="205"/>
      <c r="L67" s="205"/>
      <c r="M67" s="205"/>
      <c r="P67" s="507">
        <v>42462</v>
      </c>
      <c r="Q67">
        <v>42462</v>
      </c>
      <c r="S67" s="507"/>
    </row>
    <row r="68" spans="2:19" x14ac:dyDescent="0.2">
      <c r="B68" s="238">
        <v>42461</v>
      </c>
      <c r="C68" s="257">
        <v>42461</v>
      </c>
      <c r="D68" s="230">
        <v>2</v>
      </c>
      <c r="E68" s="201" t="s">
        <v>734</v>
      </c>
      <c r="F68" s="201" t="s">
        <v>739</v>
      </c>
      <c r="G68" s="201" t="s">
        <v>740</v>
      </c>
      <c r="H68" s="201" t="s">
        <v>741</v>
      </c>
      <c r="I68" s="204" t="s">
        <v>742</v>
      </c>
      <c r="J68" s="201" t="s">
        <v>743</v>
      </c>
      <c r="L68" s="201" t="s">
        <v>745</v>
      </c>
      <c r="M68" s="201" t="s">
        <v>745</v>
      </c>
      <c r="P68" s="507">
        <v>42461</v>
      </c>
      <c r="Q68">
        <v>42461</v>
      </c>
      <c r="S68" s="507"/>
    </row>
    <row r="69" spans="2:19" x14ac:dyDescent="0.2">
      <c r="B69" s="234" t="s">
        <v>722</v>
      </c>
      <c r="C69" s="255" t="s">
        <v>722</v>
      </c>
      <c r="D69" s="215"/>
      <c r="E69" s="205"/>
      <c r="F69" s="205"/>
      <c r="G69" s="205"/>
      <c r="H69" s="205"/>
      <c r="I69" s="208"/>
      <c r="J69" s="205"/>
      <c r="L69" s="205"/>
      <c r="M69" s="205"/>
      <c r="P69" s="507" t="s">
        <v>722</v>
      </c>
      <c r="Q69" t="s">
        <v>722</v>
      </c>
      <c r="S69" s="507"/>
    </row>
    <row r="70" spans="2:19" x14ac:dyDescent="0.2">
      <c r="B70" s="236">
        <v>41366</v>
      </c>
      <c r="C70" s="256">
        <v>41366</v>
      </c>
      <c r="D70" s="231"/>
      <c r="E70" s="209"/>
      <c r="F70" s="209"/>
      <c r="G70" s="209"/>
      <c r="H70" s="209"/>
      <c r="I70" s="212"/>
      <c r="J70" s="209"/>
      <c r="L70" s="209"/>
      <c r="M70" s="209"/>
      <c r="P70" s="507">
        <v>41366</v>
      </c>
      <c r="Q70">
        <v>41366</v>
      </c>
      <c r="S70" s="507"/>
    </row>
    <row r="71" spans="2:19" x14ac:dyDescent="0.2">
      <c r="B71" s="238">
        <v>41365</v>
      </c>
      <c r="C71" s="257">
        <v>41365</v>
      </c>
      <c r="D71" s="230">
        <v>3</v>
      </c>
      <c r="E71" s="201" t="s">
        <v>735</v>
      </c>
      <c r="F71" s="201" t="s">
        <v>746</v>
      </c>
      <c r="G71" s="201" t="s">
        <v>747</v>
      </c>
      <c r="H71" s="201" t="s">
        <v>748</v>
      </c>
      <c r="I71" s="204" t="s">
        <v>749</v>
      </c>
      <c r="J71" s="201" t="s">
        <v>750</v>
      </c>
      <c r="L71" s="201" t="s">
        <v>752</v>
      </c>
      <c r="M71" s="201" t="s">
        <v>752</v>
      </c>
      <c r="P71" s="507">
        <v>41365</v>
      </c>
      <c r="Q71">
        <v>41365</v>
      </c>
      <c r="S71" s="507"/>
    </row>
    <row r="72" spans="2:19" x14ac:dyDescent="0.2">
      <c r="B72" s="234" t="s">
        <v>722</v>
      </c>
      <c r="C72" s="255" t="s">
        <v>722</v>
      </c>
      <c r="D72" s="215"/>
      <c r="E72" s="205"/>
      <c r="F72" s="205"/>
      <c r="G72" s="205"/>
      <c r="H72" s="205"/>
      <c r="I72" s="208"/>
      <c r="J72" s="205"/>
      <c r="L72" s="205"/>
      <c r="M72" s="205"/>
      <c r="P72" s="507" t="s">
        <v>722</v>
      </c>
      <c r="Q72" t="s">
        <v>722</v>
      </c>
      <c r="S72" s="507"/>
    </row>
    <row r="73" spans="2:19" x14ac:dyDescent="0.2">
      <c r="B73" s="236">
        <v>40270</v>
      </c>
      <c r="C73" s="256">
        <v>40270</v>
      </c>
      <c r="D73" s="231"/>
      <c r="E73" s="209"/>
      <c r="F73" s="209"/>
      <c r="G73" s="209"/>
      <c r="H73" s="209"/>
      <c r="I73" s="212"/>
      <c r="J73" s="209"/>
      <c r="L73" s="209"/>
      <c r="M73" s="209"/>
      <c r="P73" s="507">
        <v>40270</v>
      </c>
      <c r="Q73">
        <v>40270</v>
      </c>
      <c r="S73" s="507"/>
    </row>
    <row r="74" spans="2:19" x14ac:dyDescent="0.2">
      <c r="B74" s="238">
        <v>40269</v>
      </c>
      <c r="C74" s="257">
        <v>40269</v>
      </c>
      <c r="D74" s="230">
        <v>4</v>
      </c>
      <c r="E74" s="201" t="s">
        <v>736</v>
      </c>
      <c r="F74" s="201" t="s">
        <v>753</v>
      </c>
      <c r="G74" s="201" t="s">
        <v>754</v>
      </c>
      <c r="H74" s="201" t="s">
        <v>755</v>
      </c>
      <c r="I74" s="204" t="s">
        <v>756</v>
      </c>
      <c r="J74" s="201" t="s">
        <v>757</v>
      </c>
      <c r="L74" s="201" t="s">
        <v>758</v>
      </c>
      <c r="M74" s="201" t="s">
        <v>758</v>
      </c>
      <c r="P74" s="507">
        <v>40269</v>
      </c>
      <c r="Q74">
        <v>40269</v>
      </c>
      <c r="S74" s="507"/>
    </row>
    <row r="75" spans="2:19" x14ac:dyDescent="0.2">
      <c r="B75" s="234" t="s">
        <v>722</v>
      </c>
      <c r="C75" s="255" t="s">
        <v>722</v>
      </c>
      <c r="D75" s="215"/>
      <c r="E75" s="205"/>
      <c r="F75" s="205"/>
      <c r="G75" s="205"/>
      <c r="H75" s="205"/>
      <c r="I75" s="208"/>
      <c r="J75" s="205"/>
      <c r="L75" s="205"/>
      <c r="M75" s="205"/>
      <c r="P75" s="507" t="s">
        <v>722</v>
      </c>
      <c r="Q75" t="s">
        <v>722</v>
      </c>
      <c r="S75" s="507"/>
    </row>
    <row r="76" spans="2:19" x14ac:dyDescent="0.2">
      <c r="B76" s="236">
        <v>39174</v>
      </c>
      <c r="C76" s="256">
        <v>39174</v>
      </c>
      <c r="D76" s="231"/>
      <c r="E76" s="209"/>
      <c r="F76" s="209"/>
      <c r="G76" s="209"/>
      <c r="H76" s="209"/>
      <c r="I76" s="212"/>
      <c r="J76" s="209"/>
      <c r="L76" s="209"/>
      <c r="M76" s="209"/>
      <c r="P76" s="507">
        <v>39174</v>
      </c>
      <c r="Q76">
        <v>39174</v>
      </c>
      <c r="S76" s="507"/>
    </row>
    <row r="77" spans="2:19" x14ac:dyDescent="0.2">
      <c r="B77" s="238">
        <v>39173</v>
      </c>
      <c r="C77" s="257">
        <v>39173</v>
      </c>
      <c r="D77" s="230">
        <v>5</v>
      </c>
      <c r="E77" s="201" t="s">
        <v>737</v>
      </c>
      <c r="F77" s="201" t="s">
        <v>761</v>
      </c>
      <c r="G77" s="201" t="s">
        <v>762</v>
      </c>
      <c r="H77" s="201" t="s">
        <v>765</v>
      </c>
      <c r="I77" s="204" t="s">
        <v>763</v>
      </c>
      <c r="J77" s="201" t="s">
        <v>764</v>
      </c>
      <c r="L77" s="201" t="s">
        <v>902</v>
      </c>
      <c r="M77" s="201" t="s">
        <v>902</v>
      </c>
      <c r="P77" s="507">
        <v>39173</v>
      </c>
      <c r="Q77">
        <v>39173</v>
      </c>
      <c r="S77" s="507"/>
    </row>
    <row r="78" spans="2:19" x14ac:dyDescent="0.2">
      <c r="B78" s="234" t="s">
        <v>722</v>
      </c>
      <c r="C78" s="255" t="s">
        <v>722</v>
      </c>
      <c r="D78" s="215"/>
      <c r="E78" s="205"/>
      <c r="F78" s="205"/>
      <c r="G78" s="205"/>
      <c r="H78" s="205"/>
      <c r="I78" s="208"/>
      <c r="J78" s="205"/>
      <c r="L78" s="205"/>
      <c r="M78" s="205"/>
      <c r="P78" s="507" t="s">
        <v>722</v>
      </c>
      <c r="Q78" t="s">
        <v>722</v>
      </c>
      <c r="S78" s="507"/>
    </row>
    <row r="79" spans="2:19" x14ac:dyDescent="0.2">
      <c r="B79" s="236">
        <v>37713</v>
      </c>
      <c r="C79" s="256">
        <v>37713</v>
      </c>
      <c r="D79" s="231"/>
      <c r="E79" s="209"/>
      <c r="F79" s="209"/>
      <c r="G79" s="209"/>
      <c r="H79" s="209"/>
      <c r="I79" s="212"/>
      <c r="J79" s="209"/>
      <c r="L79" s="209"/>
      <c r="M79" s="209"/>
      <c r="P79" s="507">
        <v>37713</v>
      </c>
      <c r="Q79">
        <v>37713</v>
      </c>
      <c r="S79" s="507"/>
    </row>
    <row r="80" spans="2:19" x14ac:dyDescent="0.2">
      <c r="B80" s="238">
        <v>37712</v>
      </c>
      <c r="C80" s="257">
        <v>37712</v>
      </c>
      <c r="D80" s="230">
        <v>6</v>
      </c>
      <c r="E80" s="201" t="s">
        <v>738</v>
      </c>
      <c r="F80" s="201" t="s">
        <v>768</v>
      </c>
      <c r="G80" s="201" t="s">
        <v>769</v>
      </c>
      <c r="H80" s="201" t="s">
        <v>770</v>
      </c>
      <c r="I80" s="204" t="s">
        <v>771</v>
      </c>
      <c r="J80" s="201" t="s">
        <v>772</v>
      </c>
      <c r="L80" s="201" t="s">
        <v>902</v>
      </c>
      <c r="M80" s="201" t="s">
        <v>902</v>
      </c>
      <c r="P80" s="507">
        <v>37712</v>
      </c>
      <c r="Q80">
        <v>37712</v>
      </c>
      <c r="S80" s="507"/>
    </row>
    <row r="81" spans="2:19" x14ac:dyDescent="0.2">
      <c r="B81" s="234" t="s">
        <v>722</v>
      </c>
      <c r="C81" s="255" t="s">
        <v>722</v>
      </c>
      <c r="D81" s="215"/>
      <c r="E81" s="205"/>
      <c r="F81" s="205"/>
      <c r="G81" s="205"/>
      <c r="H81" s="205"/>
      <c r="I81" s="208"/>
      <c r="J81" s="205"/>
      <c r="L81" s="205"/>
      <c r="M81" s="205"/>
      <c r="P81" s="507" t="s">
        <v>722</v>
      </c>
      <c r="Q81" t="s">
        <v>722</v>
      </c>
      <c r="S81" s="507"/>
    </row>
    <row r="82" spans="2:19" ht="13.8" thickBot="1" x14ac:dyDescent="0.25">
      <c r="B82" s="240"/>
      <c r="C82" s="241"/>
      <c r="D82" s="231"/>
      <c r="E82" s="209"/>
      <c r="F82" s="209"/>
      <c r="G82" s="209"/>
      <c r="H82" s="213"/>
      <c r="I82" s="214"/>
      <c r="J82" s="213"/>
      <c r="L82" s="209"/>
      <c r="M82" s="209"/>
      <c r="S82" s="507"/>
    </row>
    <row r="83" spans="2:19" ht="13.8" thickTop="1" x14ac:dyDescent="0.2"/>
    <row r="84" spans="2:19" ht="24" customHeight="1" x14ac:dyDescent="0.2">
      <c r="B84" t="s">
        <v>328</v>
      </c>
      <c r="M84" s="1"/>
    </row>
    <row r="85" spans="2:19" x14ac:dyDescent="0.2">
      <c r="D85">
        <v>1</v>
      </c>
      <c r="E85">
        <v>2</v>
      </c>
      <c r="F85">
        <v>3</v>
      </c>
      <c r="G85">
        <v>4</v>
      </c>
      <c r="H85">
        <v>5</v>
      </c>
      <c r="I85">
        <v>6</v>
      </c>
      <c r="J85">
        <v>7</v>
      </c>
      <c r="K85">
        <v>8</v>
      </c>
      <c r="L85">
        <v>9</v>
      </c>
      <c r="M85">
        <v>10</v>
      </c>
      <c r="N85">
        <v>11</v>
      </c>
      <c r="O85">
        <v>12</v>
      </c>
    </row>
    <row r="86" spans="2:19" ht="13.8" thickBot="1" x14ac:dyDescent="0.25">
      <c r="D86" s="49"/>
      <c r="E86" t="s">
        <v>473</v>
      </c>
    </row>
    <row r="87" spans="2:19" ht="13.8" thickBot="1" x14ac:dyDescent="0.25">
      <c r="C87" s="225" t="s">
        <v>435</v>
      </c>
      <c r="D87" t="s">
        <v>478</v>
      </c>
      <c r="E87" t="s">
        <v>436</v>
      </c>
      <c r="F87" s="199" t="s">
        <v>472</v>
      </c>
      <c r="G87" s="199" t="s">
        <v>454</v>
      </c>
      <c r="H87" s="199" t="s">
        <v>432</v>
      </c>
      <c r="I87" s="200" t="s">
        <v>145</v>
      </c>
      <c r="J87" s="200" t="s">
        <v>434</v>
      </c>
      <c r="K87" s="200" t="s">
        <v>433</v>
      </c>
      <c r="M87" s="252" t="s">
        <v>475</v>
      </c>
      <c r="N87" s="252" t="s">
        <v>477</v>
      </c>
      <c r="O87" s="307" t="s">
        <v>476</v>
      </c>
    </row>
    <row r="88" spans="2:19" ht="13.8" thickTop="1" x14ac:dyDescent="0.2">
      <c r="B88" s="232">
        <v>43556</v>
      </c>
      <c r="C88" s="233">
        <v>43556</v>
      </c>
      <c r="D88" s="230">
        <v>1</v>
      </c>
      <c r="E88" s="230">
        <v>7</v>
      </c>
      <c r="F88" s="201" t="s">
        <v>776</v>
      </c>
      <c r="G88" s="201" t="s">
        <v>779</v>
      </c>
      <c r="H88" s="201" t="s">
        <v>780</v>
      </c>
      <c r="I88" s="201" t="s">
        <v>781</v>
      </c>
      <c r="J88" s="204" t="s">
        <v>782</v>
      </c>
      <c r="K88" s="201" t="s">
        <v>783</v>
      </c>
      <c r="M88" s="201" t="s">
        <v>777</v>
      </c>
      <c r="N88" s="201" t="s">
        <v>778</v>
      </c>
      <c r="O88" s="23" t="s">
        <v>745</v>
      </c>
    </row>
    <row r="89" spans="2:19" x14ac:dyDescent="0.2">
      <c r="B89" s="234" t="s">
        <v>722</v>
      </c>
      <c r="C89" s="235" t="s">
        <v>722</v>
      </c>
      <c r="D89" s="215"/>
      <c r="E89" s="215"/>
      <c r="F89" s="205"/>
      <c r="G89" s="205"/>
      <c r="H89" s="205"/>
      <c r="I89" s="205"/>
      <c r="J89" s="208"/>
      <c r="K89" s="205"/>
      <c r="M89" s="205"/>
      <c r="N89" s="205"/>
      <c r="O89" s="228"/>
    </row>
    <row r="90" spans="2:19" x14ac:dyDescent="0.2">
      <c r="B90" s="236">
        <v>42462</v>
      </c>
      <c r="C90" s="237">
        <v>42462</v>
      </c>
      <c r="D90" s="231"/>
      <c r="E90" s="231"/>
      <c r="F90" s="209"/>
      <c r="G90" s="205"/>
      <c r="H90" s="205"/>
      <c r="I90" s="205"/>
      <c r="J90" s="208"/>
      <c r="K90" s="205"/>
      <c r="M90" s="209"/>
      <c r="N90" s="209"/>
      <c r="O90" s="229"/>
    </row>
    <row r="91" spans="2:19" x14ac:dyDescent="0.2">
      <c r="B91" s="238">
        <v>42461</v>
      </c>
      <c r="C91" s="239">
        <v>42461</v>
      </c>
      <c r="D91" s="230">
        <v>2</v>
      </c>
      <c r="E91" s="230">
        <v>7</v>
      </c>
      <c r="F91" s="201" t="s">
        <v>785</v>
      </c>
      <c r="G91" s="201" t="s">
        <v>779</v>
      </c>
      <c r="H91" s="201" t="s">
        <v>780</v>
      </c>
      <c r="I91" s="201" t="s">
        <v>781</v>
      </c>
      <c r="J91" s="204" t="s">
        <v>782</v>
      </c>
      <c r="K91" s="201" t="s">
        <v>783</v>
      </c>
      <c r="M91" s="201" t="s">
        <v>778</v>
      </c>
      <c r="N91" s="201" t="s">
        <v>778</v>
      </c>
      <c r="O91" s="23" t="s">
        <v>745</v>
      </c>
    </row>
    <row r="92" spans="2:19" x14ac:dyDescent="0.2">
      <c r="B92" s="234" t="s">
        <v>722</v>
      </c>
      <c r="C92" s="235" t="s">
        <v>722</v>
      </c>
      <c r="D92" s="215"/>
      <c r="E92" s="215"/>
      <c r="F92" s="205"/>
      <c r="G92" s="205"/>
      <c r="H92" s="205"/>
      <c r="I92" s="205"/>
      <c r="J92" s="208"/>
      <c r="K92" s="205"/>
      <c r="M92" s="205"/>
      <c r="N92" s="205"/>
      <c r="O92" s="228"/>
    </row>
    <row r="93" spans="2:19" x14ac:dyDescent="0.2">
      <c r="B93" s="236">
        <v>41366</v>
      </c>
      <c r="C93" s="237">
        <v>41366</v>
      </c>
      <c r="D93" s="231"/>
      <c r="E93" s="231"/>
      <c r="F93" s="209"/>
      <c r="G93" s="209"/>
      <c r="H93" s="209"/>
      <c r="I93" s="209"/>
      <c r="J93" s="212"/>
      <c r="K93" s="209"/>
      <c r="M93" s="209"/>
      <c r="N93" s="209"/>
      <c r="O93" s="229"/>
    </row>
    <row r="94" spans="2:19" x14ac:dyDescent="0.2">
      <c r="B94" s="294">
        <v>43556</v>
      </c>
      <c r="C94" s="295" t="s">
        <v>473</v>
      </c>
      <c r="D94" s="301">
        <v>7</v>
      </c>
      <c r="E94" s="301"/>
      <c r="F94" s="202" t="s">
        <v>787</v>
      </c>
      <c r="G94" s="202" t="s">
        <v>789</v>
      </c>
      <c r="H94" s="203" t="s">
        <v>791</v>
      </c>
      <c r="I94" s="39"/>
      <c r="J94" s="297"/>
      <c r="K94" s="39"/>
      <c r="M94" s="202" t="s">
        <v>792</v>
      </c>
      <c r="N94" s="202" t="s">
        <v>792</v>
      </c>
      <c r="O94" s="23"/>
    </row>
    <row r="95" spans="2:19" x14ac:dyDescent="0.2">
      <c r="B95" s="294" t="s">
        <v>722</v>
      </c>
      <c r="C95" s="295"/>
      <c r="D95" s="301"/>
      <c r="E95" s="301"/>
      <c r="F95" s="206"/>
      <c r="G95" s="206"/>
      <c r="H95" s="207"/>
      <c r="I95" s="39"/>
      <c r="J95" s="297"/>
      <c r="K95" s="39"/>
      <c r="M95" s="206"/>
      <c r="N95" s="206"/>
      <c r="O95" s="228"/>
    </row>
    <row r="96" spans="2:19" x14ac:dyDescent="0.2">
      <c r="B96" s="294">
        <v>41366</v>
      </c>
      <c r="C96" s="295"/>
      <c r="D96" s="301"/>
      <c r="E96" s="301"/>
      <c r="F96" s="210"/>
      <c r="G96" s="210"/>
      <c r="H96" s="211"/>
      <c r="I96" s="39"/>
      <c r="J96" s="297"/>
      <c r="K96" s="39"/>
      <c r="M96" s="210"/>
      <c r="N96" s="210"/>
      <c r="O96" s="229"/>
    </row>
    <row r="97" spans="2:15" x14ac:dyDescent="0.2">
      <c r="B97" s="238">
        <v>41365</v>
      </c>
      <c r="C97" s="239">
        <v>41365</v>
      </c>
      <c r="D97" s="230">
        <v>3</v>
      </c>
      <c r="E97" s="230">
        <v>8</v>
      </c>
      <c r="F97" s="201" t="s">
        <v>793</v>
      </c>
      <c r="G97" s="201" t="s">
        <v>794</v>
      </c>
      <c r="H97" s="201" t="s">
        <v>795</v>
      </c>
      <c r="I97" s="201" t="s">
        <v>796</v>
      </c>
      <c r="J97" s="204" t="s">
        <v>797</v>
      </c>
      <c r="K97" s="201" t="s">
        <v>798</v>
      </c>
      <c r="M97" s="201" t="s">
        <v>799</v>
      </c>
      <c r="N97" s="201" t="s">
        <v>799</v>
      </c>
      <c r="O97" s="23" t="s">
        <v>752</v>
      </c>
    </row>
    <row r="98" spans="2:15" x14ac:dyDescent="0.2">
      <c r="B98" s="234" t="s">
        <v>722</v>
      </c>
      <c r="C98" s="235" t="s">
        <v>722</v>
      </c>
      <c r="D98" s="215"/>
      <c r="E98" s="215"/>
      <c r="F98" s="205"/>
      <c r="G98" s="205"/>
      <c r="H98" s="205"/>
      <c r="I98" s="205"/>
      <c r="J98" s="208"/>
      <c r="K98" s="205"/>
      <c r="M98" s="205"/>
      <c r="N98" s="205"/>
      <c r="O98" s="228"/>
    </row>
    <row r="99" spans="2:15" x14ac:dyDescent="0.2">
      <c r="B99" s="236">
        <v>40270</v>
      </c>
      <c r="C99" s="237">
        <v>40270</v>
      </c>
      <c r="D99" s="231"/>
      <c r="E99" s="231"/>
      <c r="F99" s="209"/>
      <c r="G99" s="209"/>
      <c r="H99" s="209"/>
      <c r="I99" s="209"/>
      <c r="J99" s="212"/>
      <c r="K99" s="209"/>
      <c r="M99" s="209"/>
      <c r="N99" s="209"/>
      <c r="O99" s="229"/>
    </row>
    <row r="100" spans="2:15" x14ac:dyDescent="0.2">
      <c r="B100" s="294">
        <v>41365</v>
      </c>
      <c r="C100" s="295" t="s">
        <v>473</v>
      </c>
      <c r="D100" s="301">
        <v>8</v>
      </c>
      <c r="E100" s="301"/>
      <c r="F100" s="202" t="s">
        <v>800</v>
      </c>
      <c r="G100" s="202" t="s">
        <v>801</v>
      </c>
      <c r="H100" s="203" t="s">
        <v>802</v>
      </c>
      <c r="I100" s="39"/>
      <c r="J100" s="297"/>
      <c r="K100" s="39"/>
      <c r="M100" s="202" t="s">
        <v>803</v>
      </c>
      <c r="N100" s="202" t="s">
        <v>803</v>
      </c>
      <c r="O100" s="23"/>
    </row>
    <row r="101" spans="2:15" x14ac:dyDescent="0.2">
      <c r="B101" s="294" t="s">
        <v>722</v>
      </c>
      <c r="C101" s="295"/>
      <c r="D101" s="301"/>
      <c r="E101" s="301"/>
      <c r="F101" s="206"/>
      <c r="G101" s="206"/>
      <c r="H101" s="207"/>
      <c r="I101" s="39"/>
      <c r="J101" s="297"/>
      <c r="K101" s="39"/>
      <c r="M101" s="206"/>
      <c r="N101" s="206"/>
      <c r="O101" s="228"/>
    </row>
    <row r="102" spans="2:15" x14ac:dyDescent="0.2">
      <c r="B102" s="294">
        <v>40270</v>
      </c>
      <c r="C102" s="295"/>
      <c r="D102" s="301"/>
      <c r="E102" s="301"/>
      <c r="F102" s="210"/>
      <c r="G102" s="210"/>
      <c r="H102" s="211"/>
      <c r="I102" s="39"/>
      <c r="J102" s="297"/>
      <c r="K102" s="39"/>
      <c r="M102" s="210"/>
      <c r="N102" s="210"/>
      <c r="O102" s="229"/>
    </row>
    <row r="103" spans="2:15" x14ac:dyDescent="0.2">
      <c r="B103" s="238">
        <v>40269</v>
      </c>
      <c r="C103" s="239">
        <v>40269</v>
      </c>
      <c r="D103" s="230">
        <v>4</v>
      </c>
      <c r="E103" s="230">
        <v>9</v>
      </c>
      <c r="F103" s="201" t="s">
        <v>804</v>
      </c>
      <c r="G103" s="201" t="s">
        <v>805</v>
      </c>
      <c r="H103" s="201" t="s">
        <v>806</v>
      </c>
      <c r="I103" s="201" t="s">
        <v>807</v>
      </c>
      <c r="J103" s="204" t="s">
        <v>808</v>
      </c>
      <c r="K103" s="201" t="s">
        <v>809</v>
      </c>
      <c r="M103" s="201" t="s">
        <v>810</v>
      </c>
      <c r="N103" s="201" t="s">
        <v>810</v>
      </c>
      <c r="O103" s="23" t="s">
        <v>758</v>
      </c>
    </row>
    <row r="104" spans="2:15" x14ac:dyDescent="0.2">
      <c r="B104" s="234" t="s">
        <v>722</v>
      </c>
      <c r="C104" s="235" t="s">
        <v>722</v>
      </c>
      <c r="D104" s="215"/>
      <c r="E104" s="215"/>
      <c r="F104" s="205"/>
      <c r="G104" s="205"/>
      <c r="H104" s="205"/>
      <c r="I104" s="205"/>
      <c r="J104" s="208"/>
      <c r="K104" s="205"/>
      <c r="M104" s="205"/>
      <c r="N104" s="205"/>
      <c r="O104" s="228"/>
    </row>
    <row r="105" spans="2:15" x14ac:dyDescent="0.2">
      <c r="B105" s="236">
        <v>39174</v>
      </c>
      <c r="C105" s="237">
        <v>39174</v>
      </c>
      <c r="D105" s="231"/>
      <c r="E105" s="231"/>
      <c r="F105" s="209"/>
      <c r="G105" s="209"/>
      <c r="H105" s="209"/>
      <c r="I105" s="209"/>
      <c r="J105" s="212"/>
      <c r="K105" s="209"/>
      <c r="M105" s="209"/>
      <c r="N105" s="209"/>
      <c r="O105" s="229"/>
    </row>
    <row r="106" spans="2:15" x14ac:dyDescent="0.2">
      <c r="B106" s="294">
        <v>40269</v>
      </c>
      <c r="C106" s="295" t="s">
        <v>473</v>
      </c>
      <c r="D106" s="301">
        <v>9</v>
      </c>
      <c r="E106" s="301"/>
      <c r="F106" s="202" t="s">
        <v>811</v>
      </c>
      <c r="G106" s="202" t="s">
        <v>812</v>
      </c>
      <c r="H106" s="203" t="s">
        <v>813</v>
      </c>
      <c r="I106" s="39"/>
      <c r="J106" s="297"/>
      <c r="K106" s="39"/>
      <c r="M106" s="202" t="s">
        <v>814</v>
      </c>
      <c r="N106" s="202" t="s">
        <v>814</v>
      </c>
      <c r="O106" s="23"/>
    </row>
    <row r="107" spans="2:15" x14ac:dyDescent="0.2">
      <c r="B107" s="294" t="s">
        <v>722</v>
      </c>
      <c r="C107" s="295"/>
      <c r="D107" s="301"/>
      <c r="E107" s="301"/>
      <c r="F107" s="206"/>
      <c r="G107" s="206"/>
      <c r="H107" s="207"/>
      <c r="I107" s="39"/>
      <c r="J107" s="297"/>
      <c r="K107" s="39"/>
      <c r="M107" s="206"/>
      <c r="N107" s="206"/>
      <c r="O107" s="228"/>
    </row>
    <row r="108" spans="2:15" x14ac:dyDescent="0.2">
      <c r="B108" s="294">
        <v>39174</v>
      </c>
      <c r="C108" s="295"/>
      <c r="D108" s="301"/>
      <c r="E108" s="301"/>
      <c r="F108" s="210"/>
      <c r="G108" s="210"/>
      <c r="H108" s="211"/>
      <c r="I108" s="39"/>
      <c r="J108" s="297"/>
      <c r="K108" s="39"/>
      <c r="M108" s="210"/>
      <c r="N108" s="210"/>
      <c r="O108" s="229"/>
    </row>
    <row r="109" spans="2:15" x14ac:dyDescent="0.2">
      <c r="B109" s="238">
        <v>39173</v>
      </c>
      <c r="C109" s="239">
        <v>39173</v>
      </c>
      <c r="D109" s="230">
        <v>5</v>
      </c>
      <c r="E109" s="230">
        <v>10</v>
      </c>
      <c r="F109" s="201" t="s">
        <v>815</v>
      </c>
      <c r="G109" s="201" t="s">
        <v>816</v>
      </c>
      <c r="H109" s="201" t="s">
        <v>817</v>
      </c>
      <c r="I109" s="201" t="s">
        <v>818</v>
      </c>
      <c r="J109" s="204" t="s">
        <v>819</v>
      </c>
      <c r="K109" s="201" t="s">
        <v>820</v>
      </c>
      <c r="M109" s="201" t="s">
        <v>821</v>
      </c>
      <c r="N109" s="201" t="s">
        <v>821</v>
      </c>
      <c r="O109" s="23" t="s">
        <v>766</v>
      </c>
    </row>
    <row r="110" spans="2:15" x14ac:dyDescent="0.2">
      <c r="B110" s="234" t="s">
        <v>722</v>
      </c>
      <c r="C110" s="235" t="s">
        <v>722</v>
      </c>
      <c r="D110" s="215"/>
      <c r="E110" s="215"/>
      <c r="F110" s="205"/>
      <c r="G110" s="205"/>
      <c r="H110" s="205"/>
      <c r="I110" s="205"/>
      <c r="J110" s="208"/>
      <c r="K110" s="205"/>
      <c r="M110" s="205"/>
      <c r="N110" s="205"/>
      <c r="O110" s="228"/>
    </row>
    <row r="111" spans="2:15" x14ac:dyDescent="0.2">
      <c r="B111" s="236">
        <v>37713</v>
      </c>
      <c r="C111" s="237">
        <v>37713</v>
      </c>
      <c r="D111" s="231"/>
      <c r="E111" s="231"/>
      <c r="F111" s="209"/>
      <c r="G111" s="209"/>
      <c r="H111" s="209"/>
      <c r="I111" s="209"/>
      <c r="J111" s="212"/>
      <c r="K111" s="209"/>
      <c r="M111" s="209"/>
      <c r="N111" s="209"/>
      <c r="O111" s="229"/>
    </row>
    <row r="112" spans="2:15" x14ac:dyDescent="0.2">
      <c r="B112" s="238">
        <v>37712</v>
      </c>
      <c r="C112" s="239">
        <v>37712</v>
      </c>
      <c r="D112" s="230">
        <v>6</v>
      </c>
      <c r="E112" s="230">
        <v>10</v>
      </c>
      <c r="F112" s="201" t="s">
        <v>822</v>
      </c>
      <c r="G112" s="201" t="s">
        <v>823</v>
      </c>
      <c r="H112" s="201" t="s">
        <v>824</v>
      </c>
      <c r="I112" s="201" t="s">
        <v>825</v>
      </c>
      <c r="J112" s="204" t="s">
        <v>826</v>
      </c>
      <c r="K112" s="201" t="s">
        <v>827</v>
      </c>
      <c r="M112" s="201" t="s">
        <v>828</v>
      </c>
      <c r="N112" s="201" t="s">
        <v>828</v>
      </c>
      <c r="O112" s="23" t="s">
        <v>773</v>
      </c>
    </row>
    <row r="113" spans="2:15" x14ac:dyDescent="0.2">
      <c r="B113" s="234" t="s">
        <v>722</v>
      </c>
      <c r="C113" s="235" t="s">
        <v>722</v>
      </c>
      <c r="D113" s="215"/>
      <c r="E113" s="215"/>
      <c r="F113" s="205"/>
      <c r="G113" s="205"/>
      <c r="H113" s="205"/>
      <c r="I113" s="205"/>
      <c r="J113" s="208"/>
      <c r="K113" s="205"/>
      <c r="M113" s="205"/>
      <c r="N113" s="205"/>
      <c r="O113" s="228"/>
    </row>
    <row r="114" spans="2:15" x14ac:dyDescent="0.2">
      <c r="B114" s="236"/>
      <c r="C114" s="237"/>
      <c r="D114" s="231"/>
      <c r="E114" s="231"/>
      <c r="F114" s="209"/>
      <c r="G114" s="209"/>
      <c r="H114" s="209"/>
      <c r="I114" s="209"/>
      <c r="J114" s="212"/>
      <c r="K114" s="209"/>
      <c r="M114" s="209"/>
      <c r="N114" s="209"/>
      <c r="O114" s="229"/>
    </row>
    <row r="115" spans="2:15" x14ac:dyDescent="0.2">
      <c r="B115" s="238">
        <v>39173</v>
      </c>
      <c r="C115" s="239" t="s">
        <v>473</v>
      </c>
      <c r="D115" s="302">
        <v>10</v>
      </c>
      <c r="E115" s="302"/>
      <c r="F115" s="202" t="s">
        <v>829</v>
      </c>
      <c r="G115" s="202" t="s">
        <v>830</v>
      </c>
      <c r="H115" s="203" t="s">
        <v>831</v>
      </c>
      <c r="I115" s="23"/>
      <c r="J115" s="298"/>
      <c r="K115" s="23"/>
      <c r="M115" s="202" t="s">
        <v>832</v>
      </c>
      <c r="N115" s="202" t="s">
        <v>832</v>
      </c>
      <c r="O115" s="23"/>
    </row>
    <row r="116" spans="2:15" x14ac:dyDescent="0.2">
      <c r="B116" s="234" t="s">
        <v>722</v>
      </c>
      <c r="C116" s="235"/>
      <c r="D116" s="303"/>
      <c r="E116" s="303"/>
      <c r="F116" s="206"/>
      <c r="G116" s="206"/>
      <c r="H116" s="207"/>
      <c r="I116" s="228"/>
      <c r="J116" s="299"/>
      <c r="K116" s="228"/>
      <c r="M116" s="206"/>
      <c r="N116" s="206"/>
      <c r="O116" s="228"/>
    </row>
    <row r="117" spans="2:15" ht="13.8" thickBot="1" x14ac:dyDescent="0.25">
      <c r="B117" s="296"/>
      <c r="C117" s="241"/>
      <c r="D117" s="304"/>
      <c r="E117" s="304"/>
      <c r="F117" s="210"/>
      <c r="G117" s="210"/>
      <c r="H117" s="211"/>
      <c r="I117" s="229"/>
      <c r="J117" s="300"/>
      <c r="K117" s="229"/>
      <c r="M117" s="210"/>
      <c r="N117" s="210"/>
      <c r="O117" s="229"/>
    </row>
    <row r="118" spans="2:15" ht="13.8" thickTop="1" x14ac:dyDescent="0.2"/>
  </sheetData>
  <mergeCells count="11">
    <mergeCell ref="S41:U41"/>
    <mergeCell ref="M41:O41"/>
    <mergeCell ref="P41:R41"/>
    <mergeCell ref="D41:G41"/>
    <mergeCell ref="H41:J41"/>
    <mergeCell ref="K41:L41"/>
    <mergeCell ref="E9:I9"/>
    <mergeCell ref="E10:I10"/>
    <mergeCell ref="E11:I11"/>
    <mergeCell ref="E12:I12"/>
    <mergeCell ref="E13:I13"/>
  </mergeCells>
  <phoneticPr fontId="3"/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3:K27"/>
  <sheetViews>
    <sheetView workbookViewId="0">
      <selection activeCell="A4" sqref="A4:A7"/>
    </sheetView>
  </sheetViews>
  <sheetFormatPr defaultRowHeight="13.2" x14ac:dyDescent="0.2"/>
  <cols>
    <col min="1" max="1" width="21.21875" bestFit="1" customWidth="1"/>
    <col min="3" max="3" width="22.6640625" customWidth="1"/>
    <col min="4" max="4" width="13.88671875" bestFit="1" customWidth="1"/>
    <col min="5" max="5" width="3.44140625" bestFit="1" customWidth="1"/>
  </cols>
  <sheetData>
    <row r="3" spans="1:11" x14ac:dyDescent="0.2">
      <c r="A3" s="108" t="s">
        <v>712</v>
      </c>
      <c r="B3" s="108"/>
      <c r="C3" s="500" t="s">
        <v>713</v>
      </c>
      <c r="D3" s="107" t="s">
        <v>714</v>
      </c>
      <c r="E3" s="107"/>
    </row>
    <row r="4" spans="1:11" x14ac:dyDescent="0.2">
      <c r="A4" s="501" t="s">
        <v>715</v>
      </c>
      <c r="B4" s="108"/>
      <c r="C4" s="502" t="s">
        <v>908</v>
      </c>
      <c r="D4" s="502" t="s">
        <v>909</v>
      </c>
      <c r="E4" s="503" t="s">
        <v>437</v>
      </c>
    </row>
    <row r="5" spans="1:11" x14ac:dyDescent="0.2">
      <c r="A5" s="501" t="s">
        <v>717</v>
      </c>
      <c r="B5" s="504"/>
      <c r="C5" s="502" t="s">
        <v>908</v>
      </c>
      <c r="D5" s="502" t="s">
        <v>910</v>
      </c>
      <c r="E5" s="503"/>
    </row>
    <row r="6" spans="1:11" x14ac:dyDescent="0.2">
      <c r="A6" s="501" t="s">
        <v>890</v>
      </c>
      <c r="B6" s="108"/>
      <c r="C6" s="502" t="s">
        <v>908</v>
      </c>
      <c r="D6" s="502" t="s">
        <v>913</v>
      </c>
      <c r="E6" s="503"/>
      <c r="H6" t="s">
        <v>716</v>
      </c>
      <c r="J6" t="s">
        <v>835</v>
      </c>
      <c r="K6" t="s">
        <v>874</v>
      </c>
    </row>
    <row r="7" spans="1:11" x14ac:dyDescent="0.2">
      <c r="A7" s="501" t="s">
        <v>888</v>
      </c>
      <c r="B7" s="107"/>
      <c r="C7" s="502" t="s">
        <v>911</v>
      </c>
      <c r="D7" s="502" t="s">
        <v>912</v>
      </c>
      <c r="E7" s="503"/>
      <c r="H7" t="s">
        <v>889</v>
      </c>
      <c r="J7" t="s">
        <v>836</v>
      </c>
      <c r="K7" t="s">
        <v>837</v>
      </c>
    </row>
    <row r="8" spans="1:11" x14ac:dyDescent="0.2">
      <c r="A8" s="501"/>
      <c r="B8" s="108"/>
      <c r="C8" s="502"/>
      <c r="D8" s="502"/>
      <c r="E8" s="503"/>
    </row>
    <row r="9" spans="1:11" x14ac:dyDescent="0.2">
      <c r="A9" s="501"/>
      <c r="B9" s="108"/>
      <c r="C9" s="502"/>
      <c r="D9" s="502"/>
      <c r="E9" s="503"/>
    </row>
    <row r="10" spans="1:11" x14ac:dyDescent="0.2">
      <c r="A10" s="108"/>
      <c r="B10" s="108"/>
      <c r="C10" s="108"/>
      <c r="D10" s="107"/>
      <c r="E10" s="107"/>
    </row>
    <row r="11" spans="1:11" x14ac:dyDescent="0.2">
      <c r="A11" s="108" t="str">
        <f>IF(団体情報・入力の仕方!$C$3="大田区大会","大田区大会","大田区以外")</f>
        <v>大田区以外</v>
      </c>
      <c r="B11" s="108"/>
      <c r="C11" s="500" t="e">
        <f>VLOOKUP(団体情報・入力の仕方!$C$3,Sheet1!$A$4:$D$9,3,FALSE)&amp;Sheet1!$E$4&amp;VLOOKUP(団体情報・入力の仕方!$C$3,Sheet1!$A$4:$D$9,4,FALSE)</f>
        <v>#N/A</v>
      </c>
      <c r="D11" s="107"/>
      <c r="E11" s="107"/>
    </row>
    <row r="14" spans="1:11" x14ac:dyDescent="0.2">
      <c r="A14" t="str">
        <f>IF(A11="大田区大会",$C$15,$C$14)</f>
        <v>オープン６種目選手権</v>
      </c>
      <c r="C14" t="s">
        <v>718</v>
      </c>
    </row>
    <row r="15" spans="1:11" x14ac:dyDescent="0.2">
      <c r="C15" t="s">
        <v>719</v>
      </c>
    </row>
    <row r="17" spans="1:3" x14ac:dyDescent="0.2">
      <c r="A17" t="str">
        <f>IF(A11="大田区大会",$C$18,$C$17)</f>
        <v>○を選択</v>
      </c>
      <c r="C17" t="s">
        <v>646</v>
      </c>
    </row>
    <row r="18" spans="1:3" x14ac:dyDescent="0.2">
      <c r="C18" t="s">
        <v>720</v>
      </c>
    </row>
    <row r="21" spans="1:3" x14ac:dyDescent="0.2">
      <c r="A21" s="508" t="s">
        <v>726</v>
      </c>
    </row>
    <row r="22" spans="1:3" x14ac:dyDescent="0.2">
      <c r="A22" s="508" t="s">
        <v>729</v>
      </c>
    </row>
    <row r="24" spans="1:3" x14ac:dyDescent="0.2">
      <c r="A24" t="s">
        <v>899</v>
      </c>
    </row>
    <row r="25" spans="1:3" x14ac:dyDescent="0.2">
      <c r="A25" t="s">
        <v>896</v>
      </c>
    </row>
    <row r="26" spans="1:3" x14ac:dyDescent="0.2">
      <c r="A26" t="s">
        <v>897</v>
      </c>
    </row>
    <row r="27" spans="1:3" x14ac:dyDescent="0.2">
      <c r="A27" t="s">
        <v>898</v>
      </c>
    </row>
  </sheetData>
  <phoneticPr fontId="52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8919C4-28C7-4059-BF3F-E65E15A18908}">
  <dimension ref="B2:G52"/>
  <sheetViews>
    <sheetView workbookViewId="0">
      <selection activeCell="D119" sqref="D119"/>
    </sheetView>
  </sheetViews>
  <sheetFormatPr defaultRowHeight="13.2" x14ac:dyDescent="0.2"/>
  <cols>
    <col min="7" max="7" width="9.5546875" bestFit="1" customWidth="1"/>
  </cols>
  <sheetData>
    <row r="2" spans="2:7" x14ac:dyDescent="0.2">
      <c r="B2">
        <v>1</v>
      </c>
      <c r="C2" t="s">
        <v>907</v>
      </c>
      <c r="D2">
        <v>1</v>
      </c>
      <c r="E2" t="str">
        <f>B2&amp;C2&amp;D2</f>
        <v>1-1</v>
      </c>
      <c r="G2" s="507">
        <v>45782</v>
      </c>
    </row>
    <row r="3" spans="2:7" x14ac:dyDescent="0.2">
      <c r="B3">
        <v>1</v>
      </c>
      <c r="C3" t="s">
        <v>907</v>
      </c>
      <c r="D3">
        <v>2</v>
      </c>
      <c r="E3" t="str">
        <f t="shared" ref="E3:E51" si="0">B3&amp;C3&amp;D3</f>
        <v>1-2</v>
      </c>
      <c r="G3" s="507">
        <v>45417</v>
      </c>
    </row>
    <row r="4" spans="2:7" x14ac:dyDescent="0.2">
      <c r="B4">
        <f>B2+1</f>
        <v>2</v>
      </c>
      <c r="C4" t="s">
        <v>907</v>
      </c>
      <c r="D4">
        <v>1</v>
      </c>
      <c r="E4" t="str">
        <f t="shared" si="0"/>
        <v>2-1</v>
      </c>
      <c r="G4" s="507">
        <v>45051</v>
      </c>
    </row>
    <row r="5" spans="2:7" x14ac:dyDescent="0.2">
      <c r="B5">
        <f>B3+1</f>
        <v>2</v>
      </c>
      <c r="C5" t="s">
        <v>907</v>
      </c>
      <c r="D5">
        <v>2</v>
      </c>
      <c r="E5" t="str">
        <f t="shared" si="0"/>
        <v>2-2</v>
      </c>
      <c r="G5" s="507">
        <v>44686</v>
      </c>
    </row>
    <row r="6" spans="2:7" x14ac:dyDescent="0.2">
      <c r="B6">
        <f t="shared" ref="B6:B51" si="1">B4+1</f>
        <v>3</v>
      </c>
      <c r="C6" t="s">
        <v>907</v>
      </c>
      <c r="D6">
        <v>1</v>
      </c>
      <c r="E6" t="str">
        <f t="shared" si="0"/>
        <v>3-1</v>
      </c>
      <c r="G6" s="507">
        <v>44321</v>
      </c>
    </row>
    <row r="7" spans="2:7" x14ac:dyDescent="0.2">
      <c r="B7">
        <f t="shared" si="1"/>
        <v>3</v>
      </c>
      <c r="C7" t="s">
        <v>907</v>
      </c>
      <c r="D7">
        <v>2</v>
      </c>
      <c r="E7" t="str">
        <f t="shared" si="0"/>
        <v>3-2</v>
      </c>
      <c r="G7" s="507">
        <v>43956</v>
      </c>
    </row>
    <row r="8" spans="2:7" x14ac:dyDescent="0.2">
      <c r="B8">
        <f t="shared" si="1"/>
        <v>4</v>
      </c>
      <c r="C8" t="s">
        <v>907</v>
      </c>
      <c r="D8">
        <v>1</v>
      </c>
      <c r="E8" t="str">
        <f t="shared" si="0"/>
        <v>4-1</v>
      </c>
      <c r="G8" s="507">
        <v>43590</v>
      </c>
    </row>
    <row r="9" spans="2:7" x14ac:dyDescent="0.2">
      <c r="B9">
        <f t="shared" si="1"/>
        <v>4</v>
      </c>
      <c r="C9" t="s">
        <v>907</v>
      </c>
      <c r="D9">
        <v>2</v>
      </c>
      <c r="E9" t="str">
        <f t="shared" si="0"/>
        <v>4-2</v>
      </c>
      <c r="G9" s="507">
        <v>43225</v>
      </c>
    </row>
    <row r="10" spans="2:7" x14ac:dyDescent="0.2">
      <c r="B10">
        <f t="shared" si="1"/>
        <v>5</v>
      </c>
      <c r="C10" t="s">
        <v>907</v>
      </c>
      <c r="D10">
        <v>1</v>
      </c>
      <c r="E10" t="str">
        <f t="shared" si="0"/>
        <v>5-1</v>
      </c>
      <c r="G10" s="507">
        <v>42860</v>
      </c>
    </row>
    <row r="11" spans="2:7" x14ac:dyDescent="0.2">
      <c r="B11">
        <f t="shared" si="1"/>
        <v>5</v>
      </c>
      <c r="C11" t="s">
        <v>907</v>
      </c>
      <c r="D11">
        <v>2</v>
      </c>
      <c r="E11" t="str">
        <f t="shared" si="0"/>
        <v>5-2</v>
      </c>
      <c r="G11" s="507">
        <v>42495</v>
      </c>
    </row>
    <row r="12" spans="2:7" x14ac:dyDescent="0.2">
      <c r="B12">
        <f t="shared" si="1"/>
        <v>6</v>
      </c>
      <c r="C12" t="s">
        <v>907</v>
      </c>
      <c r="D12">
        <v>1</v>
      </c>
      <c r="E12" t="str">
        <f t="shared" si="0"/>
        <v>6-1</v>
      </c>
      <c r="G12" s="507">
        <v>42129</v>
      </c>
    </row>
    <row r="13" spans="2:7" x14ac:dyDescent="0.2">
      <c r="B13">
        <f t="shared" si="1"/>
        <v>6</v>
      </c>
      <c r="C13" t="s">
        <v>907</v>
      </c>
      <c r="D13">
        <v>2</v>
      </c>
      <c r="E13" t="str">
        <f t="shared" si="0"/>
        <v>6-2</v>
      </c>
      <c r="G13" s="507">
        <v>41764</v>
      </c>
    </row>
    <row r="14" spans="2:7" x14ac:dyDescent="0.2">
      <c r="B14">
        <f t="shared" si="1"/>
        <v>7</v>
      </c>
      <c r="C14" t="s">
        <v>907</v>
      </c>
      <c r="D14">
        <v>1</v>
      </c>
      <c r="E14" t="str">
        <f t="shared" si="0"/>
        <v>7-1</v>
      </c>
      <c r="G14" s="507">
        <v>41399</v>
      </c>
    </row>
    <row r="15" spans="2:7" x14ac:dyDescent="0.2">
      <c r="B15">
        <f t="shared" si="1"/>
        <v>7</v>
      </c>
      <c r="C15" t="s">
        <v>907</v>
      </c>
      <c r="D15">
        <v>2</v>
      </c>
      <c r="E15" t="str">
        <f t="shared" si="0"/>
        <v>7-2</v>
      </c>
      <c r="G15" s="507">
        <v>41034</v>
      </c>
    </row>
    <row r="16" spans="2:7" x14ac:dyDescent="0.2">
      <c r="B16">
        <f t="shared" si="1"/>
        <v>8</v>
      </c>
      <c r="C16" t="s">
        <v>907</v>
      </c>
      <c r="D16">
        <v>1</v>
      </c>
      <c r="E16" t="str">
        <f t="shared" si="0"/>
        <v>8-1</v>
      </c>
      <c r="G16" s="507">
        <v>40668</v>
      </c>
    </row>
    <row r="17" spans="2:7" x14ac:dyDescent="0.2">
      <c r="B17">
        <f t="shared" si="1"/>
        <v>8</v>
      </c>
      <c r="C17" t="s">
        <v>907</v>
      </c>
      <c r="D17">
        <v>2</v>
      </c>
      <c r="E17" t="str">
        <f t="shared" si="0"/>
        <v>8-2</v>
      </c>
      <c r="G17" s="507">
        <v>40303</v>
      </c>
    </row>
    <row r="18" spans="2:7" x14ac:dyDescent="0.2">
      <c r="B18">
        <f t="shared" si="1"/>
        <v>9</v>
      </c>
      <c r="C18" t="s">
        <v>907</v>
      </c>
      <c r="D18">
        <v>1</v>
      </c>
      <c r="E18" t="str">
        <f t="shared" si="0"/>
        <v>9-1</v>
      </c>
      <c r="G18" s="507">
        <v>39938</v>
      </c>
    </row>
    <row r="19" spans="2:7" x14ac:dyDescent="0.2">
      <c r="B19">
        <f t="shared" si="1"/>
        <v>9</v>
      </c>
      <c r="C19" t="s">
        <v>907</v>
      </c>
      <c r="D19">
        <v>2</v>
      </c>
      <c r="E19" t="str">
        <f t="shared" si="0"/>
        <v>9-2</v>
      </c>
      <c r="G19" s="507">
        <v>39573</v>
      </c>
    </row>
    <row r="20" spans="2:7" x14ac:dyDescent="0.2">
      <c r="B20">
        <f t="shared" si="1"/>
        <v>10</v>
      </c>
      <c r="C20" t="s">
        <v>907</v>
      </c>
      <c r="D20">
        <v>1</v>
      </c>
      <c r="E20" t="str">
        <f t="shared" si="0"/>
        <v>10-1</v>
      </c>
      <c r="G20" s="507">
        <v>39207</v>
      </c>
    </row>
    <row r="21" spans="2:7" x14ac:dyDescent="0.2">
      <c r="B21">
        <f t="shared" si="1"/>
        <v>10</v>
      </c>
      <c r="C21" t="s">
        <v>907</v>
      </c>
      <c r="D21">
        <v>2</v>
      </c>
      <c r="E21" t="str">
        <f t="shared" si="0"/>
        <v>10-2</v>
      </c>
      <c r="G21" s="507">
        <v>38842</v>
      </c>
    </row>
    <row r="22" spans="2:7" x14ac:dyDescent="0.2">
      <c r="B22">
        <f t="shared" si="1"/>
        <v>11</v>
      </c>
      <c r="C22" t="s">
        <v>907</v>
      </c>
      <c r="D22">
        <v>1</v>
      </c>
      <c r="E22" t="str">
        <f t="shared" si="0"/>
        <v>11-1</v>
      </c>
      <c r="G22" s="507">
        <v>38477</v>
      </c>
    </row>
    <row r="23" spans="2:7" x14ac:dyDescent="0.2">
      <c r="B23">
        <f t="shared" si="1"/>
        <v>11</v>
      </c>
      <c r="C23" t="s">
        <v>907</v>
      </c>
      <c r="D23">
        <v>2</v>
      </c>
      <c r="E23" t="str">
        <f t="shared" si="0"/>
        <v>11-2</v>
      </c>
      <c r="G23" s="507">
        <v>38112</v>
      </c>
    </row>
    <row r="24" spans="2:7" x14ac:dyDescent="0.2">
      <c r="B24">
        <f t="shared" si="1"/>
        <v>12</v>
      </c>
      <c r="C24" t="s">
        <v>907</v>
      </c>
      <c r="D24">
        <v>1</v>
      </c>
      <c r="E24" t="str">
        <f t="shared" si="0"/>
        <v>12-1</v>
      </c>
      <c r="G24" s="507">
        <v>37746</v>
      </c>
    </row>
    <row r="25" spans="2:7" x14ac:dyDescent="0.2">
      <c r="B25">
        <f t="shared" si="1"/>
        <v>12</v>
      </c>
      <c r="C25" t="s">
        <v>907</v>
      </c>
      <c r="D25">
        <v>2</v>
      </c>
      <c r="E25" t="str">
        <f t="shared" si="0"/>
        <v>12-2</v>
      </c>
      <c r="G25" s="507">
        <v>37381</v>
      </c>
    </row>
    <row r="26" spans="2:7" x14ac:dyDescent="0.2">
      <c r="B26">
        <f t="shared" si="1"/>
        <v>13</v>
      </c>
      <c r="C26" t="s">
        <v>907</v>
      </c>
      <c r="D26">
        <v>1</v>
      </c>
      <c r="E26" t="str">
        <f t="shared" si="0"/>
        <v>13-1</v>
      </c>
      <c r="G26" s="507">
        <v>37016</v>
      </c>
    </row>
    <row r="27" spans="2:7" x14ac:dyDescent="0.2">
      <c r="B27">
        <f t="shared" si="1"/>
        <v>13</v>
      </c>
      <c r="C27" t="s">
        <v>907</v>
      </c>
      <c r="D27">
        <v>2</v>
      </c>
      <c r="E27" t="str">
        <f t="shared" si="0"/>
        <v>13-2</v>
      </c>
      <c r="G27" s="507">
        <v>36651</v>
      </c>
    </row>
    <row r="28" spans="2:7" x14ac:dyDescent="0.2">
      <c r="B28">
        <f t="shared" si="1"/>
        <v>14</v>
      </c>
      <c r="C28" t="s">
        <v>907</v>
      </c>
      <c r="D28">
        <v>1</v>
      </c>
      <c r="E28" t="str">
        <f t="shared" si="0"/>
        <v>14-1</v>
      </c>
      <c r="G28" s="507">
        <v>36285</v>
      </c>
    </row>
    <row r="29" spans="2:7" x14ac:dyDescent="0.2">
      <c r="B29">
        <f t="shared" si="1"/>
        <v>14</v>
      </c>
      <c r="C29" t="s">
        <v>907</v>
      </c>
      <c r="D29">
        <v>2</v>
      </c>
      <c r="E29" t="str">
        <f t="shared" si="0"/>
        <v>14-2</v>
      </c>
      <c r="G29" s="507">
        <v>35920</v>
      </c>
    </row>
    <row r="30" spans="2:7" x14ac:dyDescent="0.2">
      <c r="B30">
        <f t="shared" si="1"/>
        <v>15</v>
      </c>
      <c r="C30" t="s">
        <v>907</v>
      </c>
      <c r="D30">
        <v>1</v>
      </c>
      <c r="E30" t="str">
        <f t="shared" si="0"/>
        <v>15-1</v>
      </c>
      <c r="G30" s="507">
        <v>35555</v>
      </c>
    </row>
    <row r="31" spans="2:7" x14ac:dyDescent="0.2">
      <c r="B31">
        <f t="shared" si="1"/>
        <v>15</v>
      </c>
      <c r="C31" t="s">
        <v>907</v>
      </c>
      <c r="D31">
        <v>2</v>
      </c>
      <c r="E31" t="str">
        <f t="shared" si="0"/>
        <v>15-2</v>
      </c>
      <c r="G31" s="507">
        <v>35190</v>
      </c>
    </row>
    <row r="32" spans="2:7" x14ac:dyDescent="0.2">
      <c r="B32">
        <f t="shared" si="1"/>
        <v>16</v>
      </c>
      <c r="C32" t="s">
        <v>907</v>
      </c>
      <c r="D32">
        <v>1</v>
      </c>
      <c r="E32" t="str">
        <f t="shared" si="0"/>
        <v>16-1</v>
      </c>
      <c r="G32" s="507">
        <v>34824</v>
      </c>
    </row>
    <row r="33" spans="2:7" x14ac:dyDescent="0.2">
      <c r="B33">
        <f t="shared" si="1"/>
        <v>16</v>
      </c>
      <c r="C33" t="s">
        <v>907</v>
      </c>
      <c r="D33">
        <v>2</v>
      </c>
      <c r="E33" t="str">
        <f t="shared" si="0"/>
        <v>16-2</v>
      </c>
      <c r="G33" s="507">
        <v>34459</v>
      </c>
    </row>
    <row r="34" spans="2:7" x14ac:dyDescent="0.2">
      <c r="B34">
        <f t="shared" si="1"/>
        <v>17</v>
      </c>
      <c r="C34" t="s">
        <v>907</v>
      </c>
      <c r="D34">
        <v>1</v>
      </c>
      <c r="E34" t="str">
        <f t="shared" si="0"/>
        <v>17-1</v>
      </c>
      <c r="G34" s="507">
        <v>34094</v>
      </c>
    </row>
    <row r="35" spans="2:7" x14ac:dyDescent="0.2">
      <c r="B35">
        <f t="shared" si="1"/>
        <v>17</v>
      </c>
      <c r="C35" t="s">
        <v>907</v>
      </c>
      <c r="D35">
        <v>2</v>
      </c>
      <c r="E35" t="str">
        <f t="shared" si="0"/>
        <v>17-2</v>
      </c>
      <c r="G35" s="507">
        <v>33729</v>
      </c>
    </row>
    <row r="36" spans="2:7" x14ac:dyDescent="0.2">
      <c r="B36">
        <f t="shared" si="1"/>
        <v>18</v>
      </c>
      <c r="C36" t="s">
        <v>907</v>
      </c>
      <c r="D36">
        <v>1</v>
      </c>
      <c r="E36" t="str">
        <f t="shared" si="0"/>
        <v>18-1</v>
      </c>
      <c r="G36" s="507">
        <v>33363</v>
      </c>
    </row>
    <row r="37" spans="2:7" x14ac:dyDescent="0.2">
      <c r="B37">
        <f t="shared" si="1"/>
        <v>18</v>
      </c>
      <c r="C37" t="s">
        <v>907</v>
      </c>
      <c r="D37">
        <v>2</v>
      </c>
      <c r="E37" t="str">
        <f t="shared" si="0"/>
        <v>18-2</v>
      </c>
      <c r="G37" s="507">
        <v>32998</v>
      </c>
    </row>
    <row r="38" spans="2:7" x14ac:dyDescent="0.2">
      <c r="B38">
        <f t="shared" si="1"/>
        <v>19</v>
      </c>
      <c r="C38" t="s">
        <v>907</v>
      </c>
      <c r="D38">
        <v>1</v>
      </c>
      <c r="E38" t="str">
        <f t="shared" si="0"/>
        <v>19-1</v>
      </c>
      <c r="G38" s="507">
        <v>32633</v>
      </c>
    </row>
    <row r="39" spans="2:7" x14ac:dyDescent="0.2">
      <c r="B39">
        <f t="shared" si="1"/>
        <v>19</v>
      </c>
      <c r="C39" t="s">
        <v>907</v>
      </c>
      <c r="D39">
        <v>2</v>
      </c>
      <c r="E39" t="str">
        <f t="shared" si="0"/>
        <v>19-2</v>
      </c>
      <c r="G39" s="507">
        <v>32268</v>
      </c>
    </row>
    <row r="40" spans="2:7" x14ac:dyDescent="0.2">
      <c r="B40">
        <f t="shared" si="1"/>
        <v>20</v>
      </c>
      <c r="C40" t="s">
        <v>907</v>
      </c>
      <c r="D40">
        <v>1</v>
      </c>
      <c r="E40" t="str">
        <f t="shared" si="0"/>
        <v>20-1</v>
      </c>
      <c r="G40" s="507">
        <v>31902</v>
      </c>
    </row>
    <row r="41" spans="2:7" x14ac:dyDescent="0.2">
      <c r="B41">
        <f t="shared" si="1"/>
        <v>20</v>
      </c>
      <c r="C41" t="s">
        <v>907</v>
      </c>
      <c r="D41">
        <v>2</v>
      </c>
      <c r="E41" t="str">
        <f t="shared" si="0"/>
        <v>20-2</v>
      </c>
      <c r="G41" s="507">
        <v>31537</v>
      </c>
    </row>
    <row r="42" spans="2:7" x14ac:dyDescent="0.2">
      <c r="B42">
        <f t="shared" si="1"/>
        <v>21</v>
      </c>
      <c r="C42" t="s">
        <v>907</v>
      </c>
      <c r="D42">
        <v>1</v>
      </c>
      <c r="E42" t="str">
        <f t="shared" si="0"/>
        <v>21-1</v>
      </c>
      <c r="G42" s="507">
        <v>31172</v>
      </c>
    </row>
    <row r="43" spans="2:7" x14ac:dyDescent="0.2">
      <c r="B43">
        <f t="shared" si="1"/>
        <v>21</v>
      </c>
      <c r="C43" t="s">
        <v>907</v>
      </c>
      <c r="D43">
        <v>2</v>
      </c>
      <c r="E43" t="str">
        <f t="shared" si="0"/>
        <v>21-2</v>
      </c>
      <c r="G43" s="507">
        <v>30807</v>
      </c>
    </row>
    <row r="44" spans="2:7" x14ac:dyDescent="0.2">
      <c r="B44">
        <f t="shared" si="1"/>
        <v>22</v>
      </c>
      <c r="C44" t="s">
        <v>907</v>
      </c>
      <c r="D44">
        <v>1</v>
      </c>
      <c r="E44" t="str">
        <f t="shared" si="0"/>
        <v>22-1</v>
      </c>
      <c r="G44" s="507">
        <v>30441</v>
      </c>
    </row>
    <row r="45" spans="2:7" x14ac:dyDescent="0.2">
      <c r="B45">
        <f t="shared" si="1"/>
        <v>22</v>
      </c>
      <c r="C45" t="s">
        <v>907</v>
      </c>
      <c r="D45">
        <v>2</v>
      </c>
      <c r="E45" t="str">
        <f t="shared" si="0"/>
        <v>22-2</v>
      </c>
      <c r="G45" s="507">
        <v>30076</v>
      </c>
    </row>
    <row r="46" spans="2:7" x14ac:dyDescent="0.2">
      <c r="B46">
        <f t="shared" si="1"/>
        <v>23</v>
      </c>
      <c r="C46" t="s">
        <v>907</v>
      </c>
      <c r="D46">
        <v>1</v>
      </c>
      <c r="E46" t="str">
        <f t="shared" si="0"/>
        <v>23-1</v>
      </c>
      <c r="G46" s="507">
        <v>29711</v>
      </c>
    </row>
    <row r="47" spans="2:7" x14ac:dyDescent="0.2">
      <c r="B47">
        <f t="shared" si="1"/>
        <v>23</v>
      </c>
      <c r="C47" t="s">
        <v>907</v>
      </c>
      <c r="D47">
        <v>2</v>
      </c>
      <c r="E47" t="str">
        <f t="shared" si="0"/>
        <v>23-2</v>
      </c>
      <c r="G47" s="507">
        <v>29346</v>
      </c>
    </row>
    <row r="48" spans="2:7" x14ac:dyDescent="0.2">
      <c r="B48">
        <f t="shared" si="1"/>
        <v>24</v>
      </c>
      <c r="C48" t="s">
        <v>907</v>
      </c>
      <c r="D48">
        <v>1</v>
      </c>
      <c r="E48" t="str">
        <f t="shared" si="0"/>
        <v>24-1</v>
      </c>
      <c r="G48" s="507">
        <v>28980</v>
      </c>
    </row>
    <row r="49" spans="2:7" x14ac:dyDescent="0.2">
      <c r="B49">
        <f t="shared" si="1"/>
        <v>24</v>
      </c>
      <c r="C49" t="s">
        <v>907</v>
      </c>
      <c r="D49">
        <v>2</v>
      </c>
      <c r="E49" t="str">
        <f t="shared" si="0"/>
        <v>24-2</v>
      </c>
      <c r="G49" s="507">
        <v>28615</v>
      </c>
    </row>
    <row r="50" spans="2:7" x14ac:dyDescent="0.2">
      <c r="B50">
        <f t="shared" si="1"/>
        <v>25</v>
      </c>
      <c r="C50" t="s">
        <v>907</v>
      </c>
      <c r="D50">
        <v>1</v>
      </c>
      <c r="E50" t="str">
        <f t="shared" si="0"/>
        <v>25-1</v>
      </c>
      <c r="G50" s="507">
        <v>28250</v>
      </c>
    </row>
    <row r="51" spans="2:7" x14ac:dyDescent="0.2">
      <c r="B51">
        <f t="shared" si="1"/>
        <v>25</v>
      </c>
      <c r="C51" t="s">
        <v>907</v>
      </c>
      <c r="D51">
        <v>2</v>
      </c>
      <c r="E51" t="str">
        <f t="shared" si="0"/>
        <v>25-2</v>
      </c>
      <c r="G51" s="507">
        <v>27885</v>
      </c>
    </row>
    <row r="52" spans="2:7" x14ac:dyDescent="0.2">
      <c r="G52" s="507">
        <v>27519</v>
      </c>
    </row>
  </sheetData>
  <phoneticPr fontId="52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C2B4B-8018-4540-8B17-F98CCF3A8C7F}">
  <dimension ref="A1"/>
  <sheetViews>
    <sheetView workbookViewId="0">
      <selection activeCell="C111" sqref="C111:D112"/>
    </sheetView>
  </sheetViews>
  <sheetFormatPr defaultRowHeight="13.2" x14ac:dyDescent="0.2"/>
  <sheetData/>
  <phoneticPr fontId="52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20027F-0DB0-4FA1-94E2-B89BC940DF75}">
  <sheetPr>
    <tabColor rgb="FF00B0F0"/>
  </sheetPr>
  <dimension ref="A1:AF180"/>
  <sheetViews>
    <sheetView zoomScale="80" zoomScaleNormal="80" workbookViewId="0">
      <selection activeCell="C111" sqref="C111:D112"/>
    </sheetView>
  </sheetViews>
  <sheetFormatPr defaultColWidth="9" defaultRowHeight="13.2" x14ac:dyDescent="0.2"/>
  <cols>
    <col min="1" max="1" width="13.44140625" style="317" customWidth="1"/>
    <col min="2" max="2" width="6.21875" style="317" customWidth="1"/>
    <col min="3" max="4" width="6.6640625" style="317" customWidth="1"/>
    <col min="5" max="19" width="6.21875" style="317" customWidth="1"/>
    <col min="20" max="27" width="6.21875" style="2" customWidth="1"/>
    <col min="28" max="28" width="2.77734375" style="2" customWidth="1"/>
    <col min="29" max="30" width="6.6640625" style="2" customWidth="1"/>
    <col min="31" max="31" width="10.33203125" style="2" bestFit="1" customWidth="1"/>
    <col min="32" max="16384" width="9" style="2"/>
  </cols>
  <sheetData>
    <row r="1" spans="1:29" ht="30" customHeight="1" thickBot="1" x14ac:dyDescent="0.25">
      <c r="I1" s="1039" t="s">
        <v>25</v>
      </c>
      <c r="J1" s="1040"/>
      <c r="K1" s="1040"/>
      <c r="L1" s="1040"/>
      <c r="M1" s="1040"/>
      <c r="N1" s="1040"/>
      <c r="O1" s="1040"/>
      <c r="P1" s="1040"/>
      <c r="Q1" s="1040"/>
      <c r="R1" s="1041"/>
      <c r="W1" s="1042" t="s">
        <v>307</v>
      </c>
      <c r="X1" s="1043"/>
      <c r="Y1" s="1018">
        <f>団体情報・入力の仕方!$G$4</f>
        <v>0</v>
      </c>
      <c r="Z1" s="1019"/>
      <c r="AA1" s="1020"/>
    </row>
    <row r="3" spans="1:29" ht="25.5" customHeight="1" thickBot="1" x14ac:dyDescent="0.25">
      <c r="A3" s="506" t="str">
        <f>"２０２３年度東京都バトン協会バトントワーリングコンテスト"&amp;団体情報・入力の仕方!$C$3</f>
        <v>２０２３年度東京都バトン協会バトントワーリングコンテスト</v>
      </c>
      <c r="B3" s="452"/>
      <c r="C3" s="452"/>
      <c r="D3" s="452"/>
      <c r="E3" s="452"/>
      <c r="F3" s="452"/>
      <c r="G3" s="452"/>
      <c r="H3" s="452"/>
      <c r="I3" s="452"/>
      <c r="J3" s="452"/>
      <c r="N3" s="461" t="e">
        <f>"申込期間 "&amp;VLOOKUP(団体情報・入力の仕方!C3,Sheet1!A4:D9,3,FALSE)&amp;Sheet1!E4&amp;VLOOKUP(団体情報・入力の仕方!C3,Sheet1!A4:D9,4,FALSE)</f>
        <v>#N/A</v>
      </c>
      <c r="O3" s="461"/>
      <c r="W3" s="1035" t="s">
        <v>26</v>
      </c>
      <c r="X3" s="1035"/>
      <c r="Y3" s="1035">
        <f>団体情報・入力の仕方!$C$4</f>
        <v>0</v>
      </c>
      <c r="Z3" s="1035"/>
      <c r="AA3" s="1035"/>
    </row>
    <row r="4" spans="1:29" ht="27" customHeight="1" thickBot="1" x14ac:dyDescent="0.25">
      <c r="B4" s="11"/>
      <c r="C4" s="1005" t="s">
        <v>27</v>
      </c>
      <c r="D4" s="1005"/>
      <c r="E4" s="996">
        <f>団体情報・入力の仕方!$C$5</f>
        <v>0</v>
      </c>
      <c r="F4" s="996"/>
      <c r="G4" s="996"/>
      <c r="H4" s="996"/>
      <c r="I4" s="996"/>
      <c r="J4" s="996"/>
      <c r="K4" s="996"/>
      <c r="L4" s="996"/>
      <c r="M4" s="996"/>
      <c r="O4" s="1037" t="s">
        <v>314</v>
      </c>
      <c r="P4" s="1005"/>
      <c r="Q4" s="1035">
        <f>団体情報・入力の仕方!$C$8</f>
        <v>0</v>
      </c>
      <c r="R4" s="1035"/>
      <c r="S4" s="1035"/>
      <c r="T4" s="1035"/>
      <c r="V4" s="1037" t="s">
        <v>315</v>
      </c>
      <c r="W4" s="1037"/>
      <c r="X4" s="1037"/>
      <c r="Y4" s="1038">
        <f>団体情報・入力の仕方!$J$8</f>
        <v>0</v>
      </c>
      <c r="Z4" s="1038"/>
      <c r="AA4" s="1038"/>
    </row>
    <row r="5" spans="1:29" customFormat="1" ht="20.100000000000001" customHeight="1" thickBot="1" x14ac:dyDescent="0.25">
      <c r="B5" s="11"/>
    </row>
    <row r="6" spans="1:29" customFormat="1" ht="20.100000000000001" customHeight="1" thickBot="1" x14ac:dyDescent="0.25">
      <c r="A6" s="11"/>
      <c r="B6" s="11"/>
      <c r="E6" s="1"/>
      <c r="F6" s="1000" t="s">
        <v>488</v>
      </c>
      <c r="G6" s="903"/>
      <c r="H6" s="904"/>
      <c r="I6" s="902" t="s">
        <v>1</v>
      </c>
      <c r="J6" s="903"/>
      <c r="K6" s="903"/>
      <c r="L6" s="903"/>
      <c r="M6" s="903"/>
      <c r="N6" s="904"/>
      <c r="O6" s="902" t="s">
        <v>2</v>
      </c>
      <c r="P6" s="903"/>
      <c r="Q6" s="904"/>
      <c r="R6" s="902" t="s">
        <v>3</v>
      </c>
      <c r="S6" s="903"/>
      <c r="T6" s="904"/>
      <c r="U6" s="902" t="s">
        <v>486</v>
      </c>
      <c r="V6" s="903"/>
      <c r="W6" s="994"/>
      <c r="X6" s="1029" t="s">
        <v>29</v>
      </c>
    </row>
    <row r="7" spans="1:29" customFormat="1" ht="20.100000000000001" customHeight="1" x14ac:dyDescent="0.2">
      <c r="E7" s="13" t="s">
        <v>47</v>
      </c>
      <c r="F7" s="1001" t="s">
        <v>37</v>
      </c>
      <c r="G7" s="1002"/>
      <c r="H7" s="1003"/>
      <c r="I7" s="12" t="s">
        <v>4</v>
      </c>
      <c r="J7" s="12" t="s">
        <v>5</v>
      </c>
      <c r="K7" s="12" t="s">
        <v>6</v>
      </c>
      <c r="L7" s="12" t="s">
        <v>7</v>
      </c>
      <c r="M7" s="12" t="s">
        <v>8</v>
      </c>
      <c r="N7" s="12" t="s">
        <v>9</v>
      </c>
      <c r="O7" s="12" t="s">
        <v>10</v>
      </c>
      <c r="P7" s="12" t="s">
        <v>11</v>
      </c>
      <c r="Q7" s="12" t="s">
        <v>12</v>
      </c>
      <c r="R7" s="12" t="s">
        <v>13</v>
      </c>
      <c r="S7" s="12" t="s">
        <v>14</v>
      </c>
      <c r="T7" s="12" t="s">
        <v>15</v>
      </c>
      <c r="U7" s="1001" t="s">
        <v>485</v>
      </c>
      <c r="V7" s="1002"/>
      <c r="W7" s="1004"/>
      <c r="X7" s="1036"/>
    </row>
    <row r="8" spans="1:29" customFormat="1" ht="19.5" customHeight="1" thickBot="1" x14ac:dyDescent="0.25">
      <c r="E8" s="181" t="s">
        <v>48</v>
      </c>
      <c r="F8" s="948" t="s">
        <v>489</v>
      </c>
      <c r="G8" s="948"/>
      <c r="H8" s="948"/>
      <c r="I8" s="948" t="s">
        <v>21</v>
      </c>
      <c r="J8" s="948"/>
      <c r="K8" s="948"/>
      <c r="L8" s="948" t="s">
        <v>22</v>
      </c>
      <c r="M8" s="948"/>
      <c r="N8" s="948"/>
      <c r="O8" s="948" t="s">
        <v>23</v>
      </c>
      <c r="P8" s="948"/>
      <c r="Q8" s="948"/>
      <c r="R8" s="948" t="s">
        <v>24</v>
      </c>
      <c r="S8" s="948"/>
      <c r="T8" s="948"/>
      <c r="U8" s="950" t="s">
        <v>487</v>
      </c>
      <c r="V8" s="951"/>
      <c r="W8" s="995"/>
      <c r="X8" s="1030"/>
      <c r="Y8" s="2"/>
    </row>
    <row r="9" spans="1:29" customFormat="1" ht="26.25" customHeight="1" thickTop="1" thickBot="1" x14ac:dyDescent="0.25">
      <c r="A9" s="976" t="s">
        <v>490</v>
      </c>
      <c r="B9" s="1071"/>
      <c r="C9" s="997" t="s">
        <v>38</v>
      </c>
      <c r="D9" s="839"/>
      <c r="E9" s="21" t="s">
        <v>39</v>
      </c>
      <c r="F9" s="1006">
        <f>入力シート!$BF$73</f>
        <v>0</v>
      </c>
      <c r="G9" s="1007"/>
      <c r="H9" s="1008"/>
      <c r="I9" s="998">
        <f>入力シート!$BF$75</f>
        <v>0</v>
      </c>
      <c r="J9" s="998"/>
      <c r="K9" s="998"/>
      <c r="L9" s="998">
        <f>入力シート!$BF$77</f>
        <v>0</v>
      </c>
      <c r="M9" s="998"/>
      <c r="N9" s="998"/>
      <c r="O9" s="998">
        <f>入力シート!$BF$79</f>
        <v>0</v>
      </c>
      <c r="P9" s="998"/>
      <c r="Q9" s="998"/>
      <c r="R9" s="998">
        <f>入力シート!$BF$81</f>
        <v>0</v>
      </c>
      <c r="S9" s="998"/>
      <c r="T9" s="998"/>
      <c r="U9" s="1006">
        <f>入力シート!$BF$83</f>
        <v>0</v>
      </c>
      <c r="V9" s="1007"/>
      <c r="W9" s="1007"/>
      <c r="X9" s="184">
        <f t="shared" ref="X9:X14" si="0">SUM(F9:W9)</f>
        <v>0</v>
      </c>
    </row>
    <row r="10" spans="1:29" customFormat="1" ht="26.25" customHeight="1" thickTop="1" x14ac:dyDescent="0.2">
      <c r="A10" s="1072"/>
      <c r="B10" s="1073"/>
      <c r="C10" s="840"/>
      <c r="D10" s="841"/>
      <c r="E10" s="14" t="s">
        <v>41</v>
      </c>
      <c r="F10" s="846">
        <f>入力シート!$BG$73</f>
        <v>0</v>
      </c>
      <c r="G10" s="847"/>
      <c r="H10" s="874"/>
      <c r="I10" s="846">
        <f>入力シート!$BG$75</f>
        <v>0</v>
      </c>
      <c r="J10" s="847"/>
      <c r="K10" s="874"/>
      <c r="L10" s="846">
        <f>入力シート!$BG$77</f>
        <v>0</v>
      </c>
      <c r="M10" s="847"/>
      <c r="N10" s="874"/>
      <c r="O10" s="846">
        <f>入力シート!$BG$79</f>
        <v>0</v>
      </c>
      <c r="P10" s="847"/>
      <c r="Q10" s="874"/>
      <c r="R10" s="846">
        <f>入力シート!$BG$81</f>
        <v>0</v>
      </c>
      <c r="S10" s="847"/>
      <c r="T10" s="874"/>
      <c r="U10" s="871">
        <f>入力シート!$BG$83</f>
        <v>0</v>
      </c>
      <c r="V10" s="872"/>
      <c r="W10" s="872"/>
      <c r="X10" s="185">
        <f t="shared" si="0"/>
        <v>0</v>
      </c>
      <c r="Z10" s="863" t="s">
        <v>58</v>
      </c>
      <c r="AA10" s="864"/>
    </row>
    <row r="11" spans="1:29" customFormat="1" ht="26.25" customHeight="1" x14ac:dyDescent="0.2">
      <c r="A11" s="1072"/>
      <c r="B11" s="1073"/>
      <c r="C11" s="840"/>
      <c r="D11" s="841"/>
      <c r="E11" s="14" t="s">
        <v>43</v>
      </c>
      <c r="F11" s="846">
        <f>入力シート!$BH$73</f>
        <v>0</v>
      </c>
      <c r="G11" s="847"/>
      <c r="H11" s="874"/>
      <c r="I11" s="846">
        <f>入力シート!$BH$75</f>
        <v>0</v>
      </c>
      <c r="J11" s="847"/>
      <c r="K11" s="874"/>
      <c r="L11" s="846">
        <f>入力シート!$BH$77</f>
        <v>0</v>
      </c>
      <c r="M11" s="847"/>
      <c r="N11" s="874"/>
      <c r="O11" s="846">
        <f>入力シート!$BH$79</f>
        <v>0</v>
      </c>
      <c r="P11" s="847"/>
      <c r="Q11" s="874"/>
      <c r="R11" s="846">
        <f>入力シート!$BH$81</f>
        <v>0</v>
      </c>
      <c r="S11" s="847"/>
      <c r="T11" s="874"/>
      <c r="U11" s="846">
        <f>入力シート!$BH$83</f>
        <v>0</v>
      </c>
      <c r="V11" s="847"/>
      <c r="W11" s="847"/>
      <c r="X11" s="185">
        <f t="shared" si="0"/>
        <v>0</v>
      </c>
      <c r="Z11" s="865">
        <f>SUM(X9:X12,X31:X34)</f>
        <v>0</v>
      </c>
      <c r="AA11" s="866"/>
    </row>
    <row r="12" spans="1:29" customFormat="1" ht="24" customHeight="1" thickBot="1" x14ac:dyDescent="0.25">
      <c r="A12" s="1074"/>
      <c r="B12" s="1075"/>
      <c r="C12" s="849"/>
      <c r="D12" s="850"/>
      <c r="E12" s="58" t="s">
        <v>45</v>
      </c>
      <c r="F12" s="851">
        <f>入力シート!$BI$73</f>
        <v>0</v>
      </c>
      <c r="G12" s="852"/>
      <c r="H12" s="999"/>
      <c r="I12" s="851">
        <f>入力シート!$BI$75</f>
        <v>0</v>
      </c>
      <c r="J12" s="852"/>
      <c r="K12" s="999"/>
      <c r="L12" s="851">
        <f>入力シート!$BI$77</f>
        <v>0</v>
      </c>
      <c r="M12" s="852"/>
      <c r="N12" s="999"/>
      <c r="O12" s="851">
        <f>入力シート!$BI$79</f>
        <v>0</v>
      </c>
      <c r="P12" s="852"/>
      <c r="Q12" s="999"/>
      <c r="R12" s="851">
        <f>入力シート!$BI$81</f>
        <v>0</v>
      </c>
      <c r="S12" s="852"/>
      <c r="T12" s="999"/>
      <c r="U12" s="851">
        <f>入力シート!$BI$83</f>
        <v>0</v>
      </c>
      <c r="V12" s="852"/>
      <c r="W12" s="999"/>
      <c r="X12" s="186">
        <f t="shared" si="0"/>
        <v>0</v>
      </c>
      <c r="Z12" s="867"/>
      <c r="AA12" s="868"/>
    </row>
    <row r="13" spans="1:29" customFormat="1" ht="0.75" customHeight="1" x14ac:dyDescent="0.2">
      <c r="A13" s="459"/>
      <c r="B13" s="460"/>
      <c r="C13" s="840" t="s">
        <v>50</v>
      </c>
      <c r="D13" s="841"/>
      <c r="E13" s="21" t="s">
        <v>41</v>
      </c>
      <c r="F13" s="871">
        <f>入力シート!$BJ$73</f>
        <v>0</v>
      </c>
      <c r="G13" s="872"/>
      <c r="H13" s="873"/>
      <c r="I13" s="871">
        <f>入力シート!$BJ$75</f>
        <v>0</v>
      </c>
      <c r="J13" s="872"/>
      <c r="K13" s="873"/>
      <c r="L13" s="871">
        <f>入力シート!$BJ$77</f>
        <v>0</v>
      </c>
      <c r="M13" s="872"/>
      <c r="N13" s="873"/>
      <c r="O13" s="871">
        <f>入力シート!$BJ$79</f>
        <v>0</v>
      </c>
      <c r="P13" s="872"/>
      <c r="Q13" s="873"/>
      <c r="R13" s="871">
        <f>入力シート!$BJ$81</f>
        <v>0</v>
      </c>
      <c r="S13" s="872"/>
      <c r="T13" s="873"/>
      <c r="U13" s="871">
        <f>入力シート!$BJ$83</f>
        <v>0</v>
      </c>
      <c r="V13" s="872"/>
      <c r="W13" s="873"/>
      <c r="X13" s="184">
        <f t="shared" si="0"/>
        <v>0</v>
      </c>
      <c r="Z13" s="2"/>
      <c r="AA13" s="2"/>
    </row>
    <row r="14" spans="1:29" customFormat="1" ht="26.25" hidden="1" customHeight="1" thickBot="1" x14ac:dyDescent="0.25">
      <c r="A14" s="455"/>
      <c r="B14" s="456"/>
      <c r="C14" s="849"/>
      <c r="D14" s="850"/>
      <c r="E14" s="58" t="s">
        <v>43</v>
      </c>
      <c r="F14" s="851">
        <f>入力シート!$BK$73</f>
        <v>0</v>
      </c>
      <c r="G14" s="852"/>
      <c r="H14" s="999"/>
      <c r="I14" s="851">
        <f>入力シート!$BK$75</f>
        <v>0</v>
      </c>
      <c r="J14" s="852"/>
      <c r="K14" s="999"/>
      <c r="L14" s="851">
        <f>入力シート!$BK$77</f>
        <v>0</v>
      </c>
      <c r="M14" s="852"/>
      <c r="N14" s="999"/>
      <c r="O14" s="851">
        <f>入力シート!$BK$79</f>
        <v>0</v>
      </c>
      <c r="P14" s="852"/>
      <c r="Q14" s="999"/>
      <c r="R14" s="851">
        <f>入力シート!$BK$81</f>
        <v>0</v>
      </c>
      <c r="S14" s="852"/>
      <c r="T14" s="999"/>
      <c r="U14" s="851">
        <f>入力シート!$BK$83</f>
        <v>0</v>
      </c>
      <c r="V14" s="852"/>
      <c r="W14" s="999"/>
      <c r="X14" s="186">
        <f t="shared" si="0"/>
        <v>0</v>
      </c>
      <c r="Z14" s="2"/>
      <c r="AA14" s="2"/>
    </row>
    <row r="15" spans="1:29" customFormat="1" ht="16.5" hidden="1" customHeight="1" thickBot="1" x14ac:dyDescent="0.25">
      <c r="E15" s="1"/>
    </row>
    <row r="16" spans="1:29" customFormat="1" ht="36.75" hidden="1" customHeight="1" thickBot="1" x14ac:dyDescent="0.25">
      <c r="A16" s="11"/>
      <c r="E16" s="1"/>
      <c r="W16" s="1042" t="s">
        <v>307</v>
      </c>
      <c r="X16" s="1043"/>
      <c r="Y16" s="1018">
        <f>団体情報・入力の仕方!$G$4</f>
        <v>0</v>
      </c>
      <c r="Z16" s="1019"/>
      <c r="AA16" s="1020"/>
      <c r="AB16" s="2"/>
      <c r="AC16" s="2"/>
    </row>
    <row r="17" spans="1:32" customFormat="1" ht="6.75" hidden="1" customHeight="1" thickBot="1" x14ac:dyDescent="0.25">
      <c r="A17" s="11"/>
      <c r="E17" s="1"/>
      <c r="Y17" s="197"/>
      <c r="Z17" s="197"/>
      <c r="AA17" s="8"/>
      <c r="AB17" s="8"/>
      <c r="AC17" s="8"/>
    </row>
    <row r="18" spans="1:32" customFormat="1" ht="19.5" hidden="1" customHeight="1" thickBot="1" x14ac:dyDescent="0.25">
      <c r="A18" s="317"/>
      <c r="B18" s="11"/>
      <c r="E18" s="1"/>
      <c r="F18" s="1000" t="s">
        <v>488</v>
      </c>
      <c r="G18" s="903"/>
      <c r="H18" s="904"/>
      <c r="I18" s="902" t="s">
        <v>1</v>
      </c>
      <c r="J18" s="903"/>
      <c r="K18" s="903"/>
      <c r="L18" s="903"/>
      <c r="M18" s="903"/>
      <c r="N18" s="904"/>
      <c r="O18" s="902" t="s">
        <v>2</v>
      </c>
      <c r="P18" s="903"/>
      <c r="Q18" s="904"/>
      <c r="R18" s="902" t="s">
        <v>3</v>
      </c>
      <c r="S18" s="903"/>
      <c r="T18" s="904"/>
      <c r="U18" s="902" t="s">
        <v>486</v>
      </c>
      <c r="V18" s="903"/>
      <c r="W18" s="994"/>
      <c r="X18" s="1029" t="s">
        <v>29</v>
      </c>
    </row>
    <row r="19" spans="1:32" customFormat="1" ht="19.5" hidden="1" customHeight="1" x14ac:dyDescent="0.2">
      <c r="E19" s="13" t="s">
        <v>47</v>
      </c>
      <c r="F19" s="1001" t="s">
        <v>37</v>
      </c>
      <c r="G19" s="1002"/>
      <c r="H19" s="1003"/>
      <c r="I19" s="12" t="s">
        <v>4</v>
      </c>
      <c r="J19" s="12" t="s">
        <v>5</v>
      </c>
      <c r="K19" s="12" t="s">
        <v>6</v>
      </c>
      <c r="L19" s="12" t="s">
        <v>7</v>
      </c>
      <c r="M19" s="12" t="s">
        <v>8</v>
      </c>
      <c r="N19" s="12" t="s">
        <v>9</v>
      </c>
      <c r="O19" s="12" t="s">
        <v>10</v>
      </c>
      <c r="P19" s="12" t="s">
        <v>11</v>
      </c>
      <c r="Q19" s="12" t="s">
        <v>12</v>
      </c>
      <c r="R19" s="12" t="s">
        <v>13</v>
      </c>
      <c r="S19" s="12" t="s">
        <v>14</v>
      </c>
      <c r="T19" s="12" t="s">
        <v>15</v>
      </c>
      <c r="U19" s="1001" t="s">
        <v>485</v>
      </c>
      <c r="V19" s="1002"/>
      <c r="W19" s="1004"/>
      <c r="X19" s="1036"/>
      <c r="AB19" s="2"/>
      <c r="AC19" s="2"/>
      <c r="AD19" s="2"/>
      <c r="AE19" s="2"/>
      <c r="AF19" s="2"/>
    </row>
    <row r="20" spans="1:32" customFormat="1" ht="19.5" hidden="1" customHeight="1" thickBot="1" x14ac:dyDescent="0.25">
      <c r="E20" s="181" t="s">
        <v>48</v>
      </c>
      <c r="F20" s="948" t="s">
        <v>489</v>
      </c>
      <c r="G20" s="948"/>
      <c r="H20" s="948"/>
      <c r="I20" s="948" t="s">
        <v>21</v>
      </c>
      <c r="J20" s="948"/>
      <c r="K20" s="948"/>
      <c r="L20" s="948" t="s">
        <v>22</v>
      </c>
      <c r="M20" s="948"/>
      <c r="N20" s="948"/>
      <c r="O20" s="948" t="s">
        <v>23</v>
      </c>
      <c r="P20" s="948"/>
      <c r="Q20" s="948"/>
      <c r="R20" s="948" t="s">
        <v>24</v>
      </c>
      <c r="S20" s="948"/>
      <c r="T20" s="948"/>
      <c r="U20" s="950" t="s">
        <v>487</v>
      </c>
      <c r="V20" s="951"/>
      <c r="W20" s="995"/>
      <c r="X20" s="1030"/>
      <c r="Y20" s="2"/>
    </row>
    <row r="21" spans="1:32" customFormat="1" ht="26.25" hidden="1" customHeight="1" thickTop="1" x14ac:dyDescent="0.2">
      <c r="A21" s="976" t="s">
        <v>490</v>
      </c>
      <c r="B21" s="977"/>
      <c r="C21" s="997" t="s">
        <v>38</v>
      </c>
      <c r="D21" s="839"/>
      <c r="E21" s="21" t="s">
        <v>39</v>
      </c>
      <c r="F21" s="1009">
        <f>入力シート!$BL$73</f>
        <v>0</v>
      </c>
      <c r="G21" s="1010"/>
      <c r="H21" s="1011"/>
      <c r="I21" s="1009">
        <f>入力シート!$BL$75</f>
        <v>0</v>
      </c>
      <c r="J21" s="1010"/>
      <c r="K21" s="1011"/>
      <c r="L21" s="1009">
        <f>入力シート!$BL$77</f>
        <v>0</v>
      </c>
      <c r="M21" s="1010"/>
      <c r="N21" s="1011"/>
      <c r="O21" s="1009">
        <f>入力シート!$BL$79</f>
        <v>0</v>
      </c>
      <c r="P21" s="1010"/>
      <c r="Q21" s="1011"/>
      <c r="R21" s="1009">
        <f>入力シート!$BL$81</f>
        <v>0</v>
      </c>
      <c r="S21" s="1010"/>
      <c r="T21" s="1011"/>
      <c r="U21" s="1009">
        <f>入力シート!$BL$83</f>
        <v>0</v>
      </c>
      <c r="V21" s="1010"/>
      <c r="W21" s="1011"/>
      <c r="X21" s="184">
        <f t="shared" ref="X21:X26" si="1">SUM(F21:W21)</f>
        <v>0</v>
      </c>
    </row>
    <row r="22" spans="1:32" customFormat="1" ht="26.25" hidden="1" customHeight="1" thickBot="1" x14ac:dyDescent="0.25">
      <c r="A22" s="978"/>
      <c r="B22" s="979"/>
      <c r="C22" s="840"/>
      <c r="D22" s="841"/>
      <c r="E22" s="14" t="s">
        <v>41</v>
      </c>
      <c r="F22" s="975">
        <f>入力シート!$BM$73</f>
        <v>0</v>
      </c>
      <c r="G22" s="975"/>
      <c r="H22" s="975"/>
      <c r="I22" s="975">
        <f>入力シート!$BM$75</f>
        <v>0</v>
      </c>
      <c r="J22" s="975"/>
      <c r="K22" s="975"/>
      <c r="L22" s="975">
        <f>入力シート!$BM$77</f>
        <v>0</v>
      </c>
      <c r="M22" s="975"/>
      <c r="N22" s="975"/>
      <c r="O22" s="975">
        <f>入力シート!$BM$79</f>
        <v>0</v>
      </c>
      <c r="P22" s="975"/>
      <c r="Q22" s="975"/>
      <c r="R22" s="975">
        <f>入力シート!$BM$81</f>
        <v>0</v>
      </c>
      <c r="S22" s="975"/>
      <c r="T22" s="975"/>
      <c r="U22" s="975">
        <f>入力シート!$BM$83</f>
        <v>0</v>
      </c>
      <c r="V22" s="975"/>
      <c r="W22" s="975"/>
      <c r="X22" s="185">
        <f t="shared" si="1"/>
        <v>0</v>
      </c>
    </row>
    <row r="23" spans="1:32" customFormat="1" ht="26.25" hidden="1" customHeight="1" thickTop="1" x14ac:dyDescent="0.2">
      <c r="A23" s="978"/>
      <c r="B23" s="979"/>
      <c r="C23" s="840"/>
      <c r="D23" s="841"/>
      <c r="E23" s="14" t="s">
        <v>43</v>
      </c>
      <c r="F23" s="975">
        <f>入力シート!$BN$73</f>
        <v>0</v>
      </c>
      <c r="G23" s="975"/>
      <c r="H23" s="975"/>
      <c r="I23" s="975">
        <f>入力シート!$BN$75</f>
        <v>0</v>
      </c>
      <c r="J23" s="975"/>
      <c r="K23" s="975"/>
      <c r="L23" s="975">
        <f>入力シート!$BN$77</f>
        <v>0</v>
      </c>
      <c r="M23" s="975"/>
      <c r="N23" s="975"/>
      <c r="O23" s="975">
        <f>入力シート!$BN$79</f>
        <v>0</v>
      </c>
      <c r="P23" s="975"/>
      <c r="Q23" s="975"/>
      <c r="R23" s="975">
        <f>入力シート!$BN$81</f>
        <v>0</v>
      </c>
      <c r="S23" s="975"/>
      <c r="T23" s="975"/>
      <c r="U23" s="975">
        <f>入力シート!$BN$83</f>
        <v>0</v>
      </c>
      <c r="V23" s="975"/>
      <c r="W23" s="975"/>
      <c r="X23" s="185">
        <f t="shared" si="1"/>
        <v>0</v>
      </c>
      <c r="Z23" s="863" t="s">
        <v>58</v>
      </c>
      <c r="AA23" s="864"/>
    </row>
    <row r="24" spans="1:32" customFormat="1" ht="26.25" hidden="1" customHeight="1" x14ac:dyDescent="0.2">
      <c r="A24" s="978"/>
      <c r="B24" s="979"/>
      <c r="C24" s="842"/>
      <c r="D24" s="843"/>
      <c r="E24" s="14" t="s">
        <v>45</v>
      </c>
      <c r="F24" s="975">
        <f>入力シート!$BO$73</f>
        <v>0</v>
      </c>
      <c r="G24" s="975"/>
      <c r="H24" s="975"/>
      <c r="I24" s="975">
        <f>入力シート!$BO$75</f>
        <v>0</v>
      </c>
      <c r="J24" s="975"/>
      <c r="K24" s="975"/>
      <c r="L24" s="975">
        <f>入力シート!$BO$77</f>
        <v>0</v>
      </c>
      <c r="M24" s="975"/>
      <c r="N24" s="975"/>
      <c r="O24" s="975">
        <f>入力シート!$BO$79</f>
        <v>0</v>
      </c>
      <c r="P24" s="975"/>
      <c r="Q24" s="975"/>
      <c r="R24" s="975">
        <f>入力シート!$BO$81</f>
        <v>0</v>
      </c>
      <c r="S24" s="975"/>
      <c r="T24" s="975"/>
      <c r="U24" s="975">
        <f>入力シート!$BO$83</f>
        <v>0</v>
      </c>
      <c r="V24" s="975"/>
      <c r="W24" s="975"/>
      <c r="X24" s="185">
        <f t="shared" si="1"/>
        <v>0</v>
      </c>
      <c r="Z24" s="1012">
        <f>SUM(X21:X26)</f>
        <v>0</v>
      </c>
      <c r="AA24" s="1013"/>
      <c r="AD24" s="2"/>
      <c r="AE24" s="2"/>
    </row>
    <row r="25" spans="1:32" customFormat="1" ht="26.25" hidden="1" customHeight="1" thickBot="1" x14ac:dyDescent="0.25">
      <c r="A25" s="978"/>
      <c r="B25" s="979"/>
      <c r="C25" s="844" t="s">
        <v>50</v>
      </c>
      <c r="D25" s="845"/>
      <c r="E25" s="14" t="s">
        <v>41</v>
      </c>
      <c r="F25" s="975">
        <f>入力シート!$BP$73</f>
        <v>0</v>
      </c>
      <c r="G25" s="975"/>
      <c r="H25" s="975"/>
      <c r="I25" s="975">
        <f>入力シート!$BP$75</f>
        <v>0</v>
      </c>
      <c r="J25" s="975"/>
      <c r="K25" s="975"/>
      <c r="L25" s="975">
        <f>入力シート!$BP$77</f>
        <v>0</v>
      </c>
      <c r="M25" s="975"/>
      <c r="N25" s="975"/>
      <c r="O25" s="975">
        <f>入力シート!$BP$79</f>
        <v>0</v>
      </c>
      <c r="P25" s="975"/>
      <c r="Q25" s="975"/>
      <c r="R25" s="975">
        <f>入力シート!$BP$81</f>
        <v>0</v>
      </c>
      <c r="S25" s="975"/>
      <c r="T25" s="975"/>
      <c r="U25" s="975">
        <f>入力シート!$BP$83</f>
        <v>0</v>
      </c>
      <c r="V25" s="975"/>
      <c r="W25" s="975"/>
      <c r="X25" s="185">
        <f t="shared" si="1"/>
        <v>0</v>
      </c>
      <c r="Z25" s="1014"/>
      <c r="AA25" s="1015"/>
      <c r="AD25" s="2"/>
      <c r="AE25" s="2"/>
    </row>
    <row r="26" spans="1:32" customFormat="1" ht="26.25" hidden="1" customHeight="1" thickTop="1" thickBot="1" x14ac:dyDescent="0.25">
      <c r="A26" s="980"/>
      <c r="B26" s="981"/>
      <c r="C26" s="849"/>
      <c r="D26" s="850"/>
      <c r="E26" s="58" t="s">
        <v>43</v>
      </c>
      <c r="F26" s="851">
        <f>入力シート!$BQ$73</f>
        <v>0</v>
      </c>
      <c r="G26" s="852"/>
      <c r="H26" s="999"/>
      <c r="I26" s="851">
        <f>入力シート!$BQ$75</f>
        <v>0</v>
      </c>
      <c r="J26" s="852"/>
      <c r="K26" s="999"/>
      <c r="L26" s="851">
        <f>入力シート!$BQ$77</f>
        <v>0</v>
      </c>
      <c r="M26" s="852"/>
      <c r="N26" s="999"/>
      <c r="O26" s="851">
        <f>入力シート!$BQ$79</f>
        <v>0</v>
      </c>
      <c r="P26" s="852"/>
      <c r="Q26" s="999"/>
      <c r="R26" s="851">
        <f>入力シート!$BQ$81</f>
        <v>0</v>
      </c>
      <c r="S26" s="852"/>
      <c r="T26" s="999"/>
      <c r="U26" s="851">
        <f>入力シート!$BQ$83</f>
        <v>0</v>
      </c>
      <c r="V26" s="852"/>
      <c r="W26" s="999"/>
      <c r="X26" s="186">
        <f t="shared" si="1"/>
        <v>0</v>
      </c>
      <c r="Z26" s="2"/>
      <c r="AA26" s="2"/>
      <c r="AD26" s="2"/>
      <c r="AE26" s="2"/>
    </row>
    <row r="27" spans="1:32" customFormat="1" ht="22.35" customHeight="1" thickBot="1" x14ac:dyDescent="0.25">
      <c r="A27" s="316"/>
      <c r="B27" s="316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512"/>
      <c r="AA27" s="512"/>
      <c r="AB27" s="1"/>
    </row>
    <row r="28" spans="1:32" customFormat="1" ht="20.100000000000001" customHeight="1" thickBot="1" x14ac:dyDescent="0.25">
      <c r="A28" s="11"/>
      <c r="B28" s="11"/>
      <c r="E28" s="1"/>
      <c r="F28" s="1000" t="s">
        <v>488</v>
      </c>
      <c r="G28" s="903"/>
      <c r="H28" s="904"/>
      <c r="I28" s="902" t="s">
        <v>1</v>
      </c>
      <c r="J28" s="903"/>
      <c r="K28" s="903"/>
      <c r="L28" s="903"/>
      <c r="M28" s="903"/>
      <c r="N28" s="904"/>
      <c r="O28" s="902" t="s">
        <v>2</v>
      </c>
      <c r="P28" s="903"/>
      <c r="Q28" s="904"/>
      <c r="R28" s="902" t="s">
        <v>3</v>
      </c>
      <c r="S28" s="903"/>
      <c r="T28" s="904"/>
      <c r="U28" s="902" t="s">
        <v>486</v>
      </c>
      <c r="V28" s="903"/>
      <c r="W28" s="994"/>
      <c r="X28" s="1029" t="s">
        <v>29</v>
      </c>
    </row>
    <row r="29" spans="1:32" customFormat="1" ht="20.100000000000001" customHeight="1" x14ac:dyDescent="0.2">
      <c r="E29" s="13" t="s">
        <v>47</v>
      </c>
      <c r="F29" s="1001" t="s">
        <v>37</v>
      </c>
      <c r="G29" s="1002"/>
      <c r="H29" s="1003"/>
      <c r="I29" s="12" t="s">
        <v>4</v>
      </c>
      <c r="J29" s="12" t="s">
        <v>5</v>
      </c>
      <c r="K29" s="12" t="s">
        <v>6</v>
      </c>
      <c r="L29" s="12" t="s">
        <v>7</v>
      </c>
      <c r="M29" s="12" t="s">
        <v>8</v>
      </c>
      <c r="N29" s="12" t="s">
        <v>9</v>
      </c>
      <c r="O29" s="12" t="s">
        <v>10</v>
      </c>
      <c r="P29" s="12" t="s">
        <v>11</v>
      </c>
      <c r="Q29" s="12" t="s">
        <v>12</v>
      </c>
      <c r="R29" s="12" t="s">
        <v>13</v>
      </c>
      <c r="S29" s="12" t="s">
        <v>14</v>
      </c>
      <c r="T29" s="12" t="s">
        <v>15</v>
      </c>
      <c r="U29" s="1001" t="s">
        <v>485</v>
      </c>
      <c r="V29" s="1002"/>
      <c r="W29" s="1004"/>
      <c r="X29" s="1036"/>
    </row>
    <row r="30" spans="1:32" customFormat="1" ht="19.5" customHeight="1" thickBot="1" x14ac:dyDescent="0.25">
      <c r="E30" s="181" t="s">
        <v>48</v>
      </c>
      <c r="F30" s="948" t="s">
        <v>489</v>
      </c>
      <c r="G30" s="948"/>
      <c r="H30" s="948"/>
      <c r="I30" s="948" t="s">
        <v>21</v>
      </c>
      <c r="J30" s="948"/>
      <c r="K30" s="948"/>
      <c r="L30" s="948" t="s">
        <v>22</v>
      </c>
      <c r="M30" s="948"/>
      <c r="N30" s="948"/>
      <c r="O30" s="948" t="s">
        <v>23</v>
      </c>
      <c r="P30" s="948"/>
      <c r="Q30" s="948"/>
      <c r="R30" s="948" t="s">
        <v>24</v>
      </c>
      <c r="S30" s="948"/>
      <c r="T30" s="948"/>
      <c r="U30" s="950" t="s">
        <v>487</v>
      </c>
      <c r="V30" s="951"/>
      <c r="W30" s="995"/>
      <c r="X30" s="1030"/>
      <c r="Y30" s="2"/>
    </row>
    <row r="31" spans="1:32" customFormat="1" ht="26.25" customHeight="1" thickTop="1" x14ac:dyDescent="0.2">
      <c r="A31" s="857" t="s">
        <v>842</v>
      </c>
      <c r="B31" s="858"/>
      <c r="C31" s="997" t="s">
        <v>38</v>
      </c>
      <c r="D31" s="839"/>
      <c r="E31" s="21" t="s">
        <v>39</v>
      </c>
      <c r="F31" s="1006">
        <f>マスターズ用入力シート!$BC$73</f>
        <v>0</v>
      </c>
      <c r="G31" s="1007"/>
      <c r="H31" s="1008"/>
      <c r="I31" s="998">
        <f>マスターズ用入力シート!$BC$75</f>
        <v>0</v>
      </c>
      <c r="J31" s="998"/>
      <c r="K31" s="998"/>
      <c r="L31" s="998">
        <f>マスターズ用入力シート!$BC$77</f>
        <v>0</v>
      </c>
      <c r="M31" s="998"/>
      <c r="N31" s="998"/>
      <c r="O31" s="998">
        <f>マスターズ用入力シート!$BC$79</f>
        <v>0</v>
      </c>
      <c r="P31" s="998"/>
      <c r="Q31" s="998"/>
      <c r="R31" s="998">
        <f>マスターズ用入力シート!$BC$81</f>
        <v>0</v>
      </c>
      <c r="S31" s="998"/>
      <c r="T31" s="998"/>
      <c r="U31" s="1006">
        <f>マスターズ用入力シート!$BC$83</f>
        <v>0</v>
      </c>
      <c r="V31" s="1007"/>
      <c r="W31" s="1007"/>
      <c r="X31" s="184">
        <f t="shared" ref="X31:X34" si="2">SUM(F31:W31)</f>
        <v>0</v>
      </c>
    </row>
    <row r="32" spans="1:32" customFormat="1" ht="26.25" customHeight="1" x14ac:dyDescent="0.2">
      <c r="A32" s="859"/>
      <c r="B32" s="860"/>
      <c r="C32" s="840"/>
      <c r="D32" s="841"/>
      <c r="E32" s="14" t="s">
        <v>41</v>
      </c>
      <c r="F32" s="846">
        <f>マスターズ用入力シート!$BD$73</f>
        <v>0</v>
      </c>
      <c r="G32" s="847"/>
      <c r="H32" s="874"/>
      <c r="I32" s="846">
        <f>マスターズ用入力シート!$BD$75</f>
        <v>0</v>
      </c>
      <c r="J32" s="847"/>
      <c r="K32" s="874"/>
      <c r="L32" s="846">
        <f>マスターズ用入力シート!$BD$77</f>
        <v>0</v>
      </c>
      <c r="M32" s="847"/>
      <c r="N32" s="874"/>
      <c r="O32" s="846">
        <f>マスターズ用入力シート!$BD$79</f>
        <v>0</v>
      </c>
      <c r="P32" s="847"/>
      <c r="Q32" s="874"/>
      <c r="R32" s="846">
        <f>マスターズ用入力シート!$BD$81</f>
        <v>0</v>
      </c>
      <c r="S32" s="847"/>
      <c r="T32" s="874"/>
      <c r="U32" s="871">
        <f>マスターズ用入力シート!$BD$83</f>
        <v>0</v>
      </c>
      <c r="V32" s="872"/>
      <c r="W32" s="872"/>
      <c r="X32" s="185">
        <f t="shared" si="2"/>
        <v>0</v>
      </c>
    </row>
    <row r="33" spans="1:30" customFormat="1" ht="26.25" customHeight="1" x14ac:dyDescent="0.2">
      <c r="A33" s="859"/>
      <c r="B33" s="860"/>
      <c r="C33" s="840"/>
      <c r="D33" s="841"/>
      <c r="E33" s="14" t="s">
        <v>43</v>
      </c>
      <c r="F33" s="846">
        <f>マスターズ用入力シート!$BE$73</f>
        <v>0</v>
      </c>
      <c r="G33" s="847"/>
      <c r="H33" s="874"/>
      <c r="I33" s="846">
        <f>マスターズ用入力シート!$BE$75</f>
        <v>0</v>
      </c>
      <c r="J33" s="847"/>
      <c r="K33" s="874"/>
      <c r="L33" s="846">
        <f>マスターズ用入力シート!$BE$77</f>
        <v>0</v>
      </c>
      <c r="M33" s="847"/>
      <c r="N33" s="874"/>
      <c r="O33" s="846">
        <f>マスターズ用入力シート!$BE$79</f>
        <v>0</v>
      </c>
      <c r="P33" s="847"/>
      <c r="Q33" s="874"/>
      <c r="R33" s="846">
        <f>マスターズ用入力シート!$BE$81</f>
        <v>0</v>
      </c>
      <c r="S33" s="847"/>
      <c r="T33" s="874"/>
      <c r="U33" s="846">
        <f>マスターズ用入力シート!$BE$83</f>
        <v>0</v>
      </c>
      <c r="V33" s="847"/>
      <c r="W33" s="847"/>
      <c r="X33" s="185">
        <f t="shared" si="2"/>
        <v>0</v>
      </c>
    </row>
    <row r="34" spans="1:30" customFormat="1" ht="24" customHeight="1" thickBot="1" x14ac:dyDescent="0.25">
      <c r="A34" s="861"/>
      <c r="B34" s="862"/>
      <c r="C34" s="849"/>
      <c r="D34" s="850"/>
      <c r="E34" s="58" t="s">
        <v>45</v>
      </c>
      <c r="F34" s="851">
        <f>マスターズ用入力シート!$BF$73</f>
        <v>0</v>
      </c>
      <c r="G34" s="852"/>
      <c r="H34" s="999"/>
      <c r="I34" s="851">
        <f>マスターズ用入力シート!$BF$75</f>
        <v>0</v>
      </c>
      <c r="J34" s="852"/>
      <c r="K34" s="999"/>
      <c r="L34" s="851">
        <f>マスターズ用入力シート!$BF$77</f>
        <v>0</v>
      </c>
      <c r="M34" s="852"/>
      <c r="N34" s="999"/>
      <c r="O34" s="851">
        <f>マスターズ用入力シート!$BF$79</f>
        <v>0</v>
      </c>
      <c r="P34" s="852"/>
      <c r="Q34" s="999"/>
      <c r="R34" s="851">
        <f>マスターズ用入力シート!$BF$81</f>
        <v>0</v>
      </c>
      <c r="S34" s="852"/>
      <c r="T34" s="999"/>
      <c r="U34" s="851">
        <f>マスターズ用入力シート!$BF$83</f>
        <v>0</v>
      </c>
      <c r="V34" s="852"/>
      <c r="W34" s="999"/>
      <c r="X34" s="186">
        <f t="shared" si="2"/>
        <v>0</v>
      </c>
    </row>
    <row r="35" spans="1:30" customFormat="1" ht="22.35" customHeight="1" thickBot="1" x14ac:dyDescent="0.25">
      <c r="A35" s="316"/>
      <c r="B35" s="316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512"/>
      <c r="AA35" s="512"/>
      <c r="AB35" s="1"/>
    </row>
    <row r="36" spans="1:30" customFormat="1" ht="26.25" customHeight="1" thickTop="1" thickBot="1" x14ac:dyDescent="0.25">
      <c r="A36" s="988" t="s">
        <v>491</v>
      </c>
      <c r="B36" s="989"/>
      <c r="C36" s="989"/>
      <c r="D36" s="989"/>
      <c r="E36" s="989"/>
      <c r="F36" s="1021">
        <f>入力シート!P10</f>
        <v>0</v>
      </c>
      <c r="G36" s="1021"/>
      <c r="H36" s="1022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2"/>
      <c r="Y36" s="2"/>
      <c r="Z36" s="1016" t="s">
        <v>839</v>
      </c>
      <c r="AA36" s="1017"/>
      <c r="AB36" s="1"/>
    </row>
    <row r="37" spans="1:30" customFormat="1" ht="26.25" customHeight="1" x14ac:dyDescent="0.2">
      <c r="A37" s="516"/>
      <c r="B37" s="516"/>
      <c r="C37" s="516"/>
      <c r="D37" s="516"/>
      <c r="E37" s="516"/>
      <c r="F37" s="515"/>
      <c r="G37" s="515"/>
      <c r="H37" s="51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2"/>
      <c r="Y37" s="2"/>
      <c r="Z37" s="865">
        <f>SUM(F36:H37)</f>
        <v>0</v>
      </c>
      <c r="AA37" s="866"/>
      <c r="AB37" s="1"/>
    </row>
    <row r="38" spans="1:30" customFormat="1" ht="22.95" customHeight="1" thickBot="1" x14ac:dyDescent="0.25">
      <c r="F38" s="314"/>
      <c r="G38" s="314"/>
      <c r="H38" s="314"/>
      <c r="I38" s="314"/>
      <c r="J38" s="314"/>
      <c r="K38" s="314"/>
      <c r="L38" s="314"/>
      <c r="M38" s="314"/>
      <c r="N38" s="314"/>
      <c r="O38" s="314"/>
      <c r="P38" s="314"/>
      <c r="Q38" s="314"/>
      <c r="R38" s="314"/>
      <c r="S38" s="314"/>
      <c r="T38" s="314"/>
      <c r="U38" s="314"/>
      <c r="V38" s="314"/>
      <c r="W38" s="314"/>
      <c r="X38" s="314"/>
      <c r="Z38" s="867"/>
      <c r="AA38" s="868"/>
    </row>
    <row r="39" spans="1:30" customFormat="1" ht="26.25" customHeight="1" thickTop="1" x14ac:dyDescent="0.2">
      <c r="A39" s="878" t="s">
        <v>49</v>
      </c>
      <c r="B39" s="879"/>
      <c r="C39" s="838" t="s">
        <v>214</v>
      </c>
      <c r="D39" s="839"/>
      <c r="E39" s="17" t="s">
        <v>39</v>
      </c>
      <c r="F39" s="958">
        <f>入力シート!$BS$73</f>
        <v>0</v>
      </c>
      <c r="G39" s="959"/>
      <c r="H39" s="960"/>
      <c r="I39" s="958">
        <f>入力シート!$BS$75</f>
        <v>0</v>
      </c>
      <c r="J39" s="959"/>
      <c r="K39" s="960"/>
      <c r="L39" s="958">
        <f>入力シート!$BS$77</f>
        <v>0</v>
      </c>
      <c r="M39" s="959"/>
      <c r="N39" s="960"/>
      <c r="O39" s="958">
        <f>入力シート!$BS$79</f>
        <v>0</v>
      </c>
      <c r="P39" s="959"/>
      <c r="Q39" s="960"/>
      <c r="R39" s="958">
        <f>入力シート!$BS$81</f>
        <v>0</v>
      </c>
      <c r="S39" s="959"/>
      <c r="T39" s="960"/>
      <c r="U39" s="958">
        <f>入力シート!$BS$83</f>
        <v>0</v>
      </c>
      <c r="V39" s="959"/>
      <c r="W39" s="964"/>
      <c r="X39" s="315">
        <f>SUM(F39:W39)</f>
        <v>0</v>
      </c>
      <c r="Z39" s="509"/>
      <c r="AA39" s="509"/>
      <c r="AC39" s="2"/>
      <c r="AD39" s="2"/>
    </row>
    <row r="40" spans="1:30" customFormat="1" ht="26.25" customHeight="1" x14ac:dyDescent="0.2">
      <c r="A40" s="923"/>
      <c r="B40" s="925"/>
      <c r="C40" s="840"/>
      <c r="D40" s="841"/>
      <c r="E40" s="14" t="s">
        <v>41</v>
      </c>
      <c r="F40" s="871">
        <f>入力シート!$BS$85</f>
        <v>0</v>
      </c>
      <c r="G40" s="872"/>
      <c r="H40" s="873"/>
      <c r="I40" s="846">
        <f>入力シート!$BS$87</f>
        <v>0</v>
      </c>
      <c r="J40" s="847"/>
      <c r="K40" s="874"/>
      <c r="L40" s="846">
        <f>入力シート!$BS$89</f>
        <v>0</v>
      </c>
      <c r="M40" s="847"/>
      <c r="N40" s="874"/>
      <c r="O40" s="846">
        <f>入力シート!$BS$91</f>
        <v>0</v>
      </c>
      <c r="P40" s="847"/>
      <c r="Q40" s="874"/>
      <c r="R40" s="846">
        <f>入力シート!$BS$93</f>
        <v>0</v>
      </c>
      <c r="S40" s="847"/>
      <c r="T40" s="874"/>
      <c r="U40" s="846">
        <f>入力シート!$BS$95</f>
        <v>0</v>
      </c>
      <c r="V40" s="847"/>
      <c r="W40" s="848"/>
      <c r="X40" s="185">
        <f>SUM(F40:W40)</f>
        <v>0</v>
      </c>
      <c r="Z40" s="2"/>
      <c r="AA40" s="2"/>
      <c r="AC40" s="2"/>
      <c r="AD40" s="2"/>
    </row>
    <row r="41" spans="1:30" customFormat="1" ht="26.25" customHeight="1" x14ac:dyDescent="0.2">
      <c r="A41" s="923"/>
      <c r="B41" s="925"/>
      <c r="C41" s="840"/>
      <c r="D41" s="841"/>
      <c r="E41" s="14" t="s">
        <v>43</v>
      </c>
      <c r="F41" s="871">
        <f>入力シート!$BS$97</f>
        <v>0</v>
      </c>
      <c r="G41" s="872"/>
      <c r="H41" s="873"/>
      <c r="I41" s="846">
        <f>入力シート!$BS$99</f>
        <v>0</v>
      </c>
      <c r="J41" s="847"/>
      <c r="K41" s="874"/>
      <c r="L41" s="846">
        <f>入力シート!$BS$101</f>
        <v>0</v>
      </c>
      <c r="M41" s="847"/>
      <c r="N41" s="874"/>
      <c r="O41" s="846">
        <f>入力シート!$BS$103</f>
        <v>0</v>
      </c>
      <c r="P41" s="847"/>
      <c r="Q41" s="874"/>
      <c r="R41" s="846">
        <f>入力シート!$BS$105</f>
        <v>0</v>
      </c>
      <c r="S41" s="847"/>
      <c r="T41" s="874"/>
      <c r="U41" s="846">
        <f>入力シート!$BS$107</f>
        <v>0</v>
      </c>
      <c r="V41" s="847"/>
      <c r="W41" s="848"/>
      <c r="X41" s="185">
        <f>SUM(F41:W41)</f>
        <v>0</v>
      </c>
      <c r="AC41" s="2"/>
      <c r="AD41" s="2"/>
    </row>
    <row r="42" spans="1:30" customFormat="1" ht="26.25" customHeight="1" x14ac:dyDescent="0.2">
      <c r="A42" s="923"/>
      <c r="B42" s="925"/>
      <c r="C42" s="842"/>
      <c r="D42" s="843"/>
      <c r="E42" s="14" t="s">
        <v>45</v>
      </c>
      <c r="F42" s="871">
        <f>入力シート!$BS$109</f>
        <v>0</v>
      </c>
      <c r="G42" s="872"/>
      <c r="H42" s="873"/>
      <c r="I42" s="846">
        <f>入力シート!$BS$111</f>
        <v>0</v>
      </c>
      <c r="J42" s="847"/>
      <c r="K42" s="874"/>
      <c r="L42" s="846">
        <f>入力シート!$BS$113</f>
        <v>0</v>
      </c>
      <c r="M42" s="847"/>
      <c r="N42" s="874"/>
      <c r="O42" s="846">
        <f>入力シート!$BS$115</f>
        <v>0</v>
      </c>
      <c r="P42" s="847"/>
      <c r="Q42" s="874"/>
      <c r="R42" s="846">
        <f>入力シート!$BS$117</f>
        <v>0</v>
      </c>
      <c r="S42" s="847"/>
      <c r="T42" s="874"/>
      <c r="U42" s="846">
        <f>入力シート!$BS$119</f>
        <v>0</v>
      </c>
      <c r="V42" s="847"/>
      <c r="W42" s="848"/>
      <c r="X42" s="185">
        <f>SUM(F42:W42)</f>
        <v>0</v>
      </c>
      <c r="AC42" s="2"/>
      <c r="AD42" s="2"/>
    </row>
    <row r="43" spans="1:30" customFormat="1" ht="26.25" customHeight="1" x14ac:dyDescent="0.2">
      <c r="A43" s="923"/>
      <c r="B43" s="925"/>
      <c r="C43" s="844" t="s">
        <v>51</v>
      </c>
      <c r="D43" s="845"/>
      <c r="E43" s="14" t="s">
        <v>41</v>
      </c>
      <c r="F43" s="854"/>
      <c r="G43" s="855"/>
      <c r="H43" s="856"/>
      <c r="I43" s="846">
        <f>入力シート!$BT$87</f>
        <v>0</v>
      </c>
      <c r="J43" s="847"/>
      <c r="K43" s="874"/>
      <c r="L43" s="846">
        <f>入力シート!$BT$89</f>
        <v>0</v>
      </c>
      <c r="M43" s="847"/>
      <c r="N43" s="874"/>
      <c r="O43" s="846">
        <f>入力シート!$BT$91</f>
        <v>0</v>
      </c>
      <c r="P43" s="847"/>
      <c r="Q43" s="874"/>
      <c r="R43" s="846">
        <f>入力シート!$BT$93</f>
        <v>0</v>
      </c>
      <c r="S43" s="847"/>
      <c r="T43" s="874"/>
      <c r="U43" s="846">
        <f>入力シート!$BT$95</f>
        <v>0</v>
      </c>
      <c r="V43" s="847"/>
      <c r="W43" s="848"/>
      <c r="X43" s="184">
        <f>SUM(I43:W43)</f>
        <v>0</v>
      </c>
    </row>
    <row r="44" spans="1:30" customFormat="1" ht="26.25" customHeight="1" x14ac:dyDescent="0.2">
      <c r="A44" s="923"/>
      <c r="B44" s="925"/>
      <c r="C44" s="840"/>
      <c r="D44" s="841"/>
      <c r="E44" s="14" t="s">
        <v>43</v>
      </c>
      <c r="F44" s="854"/>
      <c r="G44" s="855"/>
      <c r="H44" s="856"/>
      <c r="I44" s="846">
        <f>入力シート!$BT$99</f>
        <v>0</v>
      </c>
      <c r="J44" s="847"/>
      <c r="K44" s="874"/>
      <c r="L44" s="846">
        <f>入力シート!$BT$101</f>
        <v>0</v>
      </c>
      <c r="M44" s="847"/>
      <c r="N44" s="874"/>
      <c r="O44" s="846">
        <f>入力シート!$BT$103</f>
        <v>0</v>
      </c>
      <c r="P44" s="847"/>
      <c r="Q44" s="874"/>
      <c r="R44" s="846">
        <f>入力シート!$BT$105</f>
        <v>0</v>
      </c>
      <c r="S44" s="847"/>
      <c r="T44" s="874"/>
      <c r="U44" s="846">
        <f>入力シート!$BT$107</f>
        <v>0</v>
      </c>
      <c r="V44" s="847"/>
      <c r="W44" s="848"/>
      <c r="X44" s="184">
        <f t="shared" ref="X44:X55" si="3">SUM(I44:W44)</f>
        <v>0</v>
      </c>
    </row>
    <row r="45" spans="1:30" customFormat="1" ht="26.25" customHeight="1" x14ac:dyDescent="0.2">
      <c r="A45" s="923"/>
      <c r="B45" s="925"/>
      <c r="C45" s="842"/>
      <c r="D45" s="843"/>
      <c r="E45" s="14" t="s">
        <v>45</v>
      </c>
      <c r="F45" s="854"/>
      <c r="G45" s="855"/>
      <c r="H45" s="856"/>
      <c r="I45" s="846">
        <f>入力シート!$BT$111</f>
        <v>0</v>
      </c>
      <c r="J45" s="847"/>
      <c r="K45" s="874"/>
      <c r="L45" s="846">
        <f>入力シート!$BT$113</f>
        <v>0</v>
      </c>
      <c r="M45" s="847"/>
      <c r="N45" s="874"/>
      <c r="O45" s="846">
        <f>入力シート!$BT$115</f>
        <v>0</v>
      </c>
      <c r="P45" s="847"/>
      <c r="Q45" s="874"/>
      <c r="R45" s="846">
        <f>入力シート!$BT$117</f>
        <v>0</v>
      </c>
      <c r="S45" s="847"/>
      <c r="T45" s="874"/>
      <c r="U45" s="846">
        <f>入力シート!$BT$119</f>
        <v>0</v>
      </c>
      <c r="V45" s="847"/>
      <c r="W45" s="848"/>
      <c r="X45" s="184">
        <f t="shared" si="3"/>
        <v>0</v>
      </c>
    </row>
    <row r="46" spans="1:30" customFormat="1" ht="26.25" customHeight="1" x14ac:dyDescent="0.2">
      <c r="A46" s="923"/>
      <c r="B46" s="925"/>
      <c r="C46" s="844" t="s">
        <v>52</v>
      </c>
      <c r="D46" s="845"/>
      <c r="E46" s="14" t="s">
        <v>41</v>
      </c>
      <c r="F46" s="854"/>
      <c r="G46" s="855"/>
      <c r="H46" s="856"/>
      <c r="I46" s="846">
        <f>入力シート!$BU$87</f>
        <v>0</v>
      </c>
      <c r="J46" s="847"/>
      <c r="K46" s="874"/>
      <c r="L46" s="846">
        <f>入力シート!$BU$89</f>
        <v>0</v>
      </c>
      <c r="M46" s="847"/>
      <c r="N46" s="874"/>
      <c r="O46" s="846">
        <f>入力シート!$BU$91</f>
        <v>0</v>
      </c>
      <c r="P46" s="847"/>
      <c r="Q46" s="874"/>
      <c r="R46" s="846">
        <f>入力シート!$BU$93</f>
        <v>0</v>
      </c>
      <c r="S46" s="847"/>
      <c r="T46" s="874"/>
      <c r="U46" s="846">
        <f>入力シート!$BU$95</f>
        <v>0</v>
      </c>
      <c r="V46" s="847"/>
      <c r="W46" s="848"/>
      <c r="X46" s="184">
        <f t="shared" si="3"/>
        <v>0</v>
      </c>
    </row>
    <row r="47" spans="1:30" customFormat="1" ht="26.25" customHeight="1" x14ac:dyDescent="0.2">
      <c r="A47" s="923"/>
      <c r="B47" s="925"/>
      <c r="C47" s="842"/>
      <c r="D47" s="843"/>
      <c r="E47" s="14" t="s">
        <v>45</v>
      </c>
      <c r="F47" s="854"/>
      <c r="G47" s="855"/>
      <c r="H47" s="856"/>
      <c r="I47" s="846">
        <f>入力シート!$BU$111</f>
        <v>0</v>
      </c>
      <c r="J47" s="847"/>
      <c r="K47" s="874"/>
      <c r="L47" s="846">
        <f>入力シート!$BU$113</f>
        <v>0</v>
      </c>
      <c r="M47" s="847"/>
      <c r="N47" s="874"/>
      <c r="O47" s="846">
        <f>入力シート!$BU$115</f>
        <v>0</v>
      </c>
      <c r="P47" s="847"/>
      <c r="Q47" s="874"/>
      <c r="R47" s="846">
        <f>入力シート!$BU$117</f>
        <v>0</v>
      </c>
      <c r="S47" s="847"/>
      <c r="T47" s="874"/>
      <c r="U47" s="846">
        <f>入力シート!$BU$119</f>
        <v>0</v>
      </c>
      <c r="V47" s="847"/>
      <c r="W47" s="848"/>
      <c r="X47" s="184">
        <f t="shared" si="3"/>
        <v>0</v>
      </c>
    </row>
    <row r="48" spans="1:30" customFormat="1" ht="26.25" customHeight="1" x14ac:dyDescent="0.2">
      <c r="A48" s="923"/>
      <c r="B48" s="925"/>
      <c r="C48" s="844" t="s">
        <v>218</v>
      </c>
      <c r="D48" s="845"/>
      <c r="E48" s="14" t="s">
        <v>41</v>
      </c>
      <c r="F48" s="854"/>
      <c r="G48" s="855"/>
      <c r="H48" s="856"/>
      <c r="I48" s="846">
        <f>入力シート!$BV$87</f>
        <v>0</v>
      </c>
      <c r="J48" s="847"/>
      <c r="K48" s="874"/>
      <c r="L48" s="846">
        <f>入力シート!$BV$89</f>
        <v>0</v>
      </c>
      <c r="M48" s="847"/>
      <c r="N48" s="874"/>
      <c r="O48" s="846">
        <f>入力シート!$BV$91</f>
        <v>0</v>
      </c>
      <c r="P48" s="847"/>
      <c r="Q48" s="874"/>
      <c r="R48" s="846">
        <f>入力シート!$BV$93</f>
        <v>0</v>
      </c>
      <c r="S48" s="847"/>
      <c r="T48" s="874"/>
      <c r="U48" s="846">
        <f>入力シート!$BV$95</f>
        <v>0</v>
      </c>
      <c r="V48" s="847"/>
      <c r="W48" s="848"/>
      <c r="X48" s="184">
        <f t="shared" si="3"/>
        <v>0</v>
      </c>
    </row>
    <row r="49" spans="1:30" customFormat="1" ht="26.25" customHeight="1" x14ac:dyDescent="0.2">
      <c r="A49" s="923"/>
      <c r="B49" s="925"/>
      <c r="C49" s="840"/>
      <c r="D49" s="841"/>
      <c r="E49" s="14" t="s">
        <v>43</v>
      </c>
      <c r="F49" s="854"/>
      <c r="G49" s="855"/>
      <c r="H49" s="856"/>
      <c r="I49" s="846">
        <f>入力シート!$BV$99</f>
        <v>0</v>
      </c>
      <c r="J49" s="847"/>
      <c r="K49" s="874"/>
      <c r="L49" s="846">
        <f>入力シート!$BV$101</f>
        <v>0</v>
      </c>
      <c r="M49" s="847"/>
      <c r="N49" s="874"/>
      <c r="O49" s="846">
        <f>入力シート!$BV$103</f>
        <v>0</v>
      </c>
      <c r="P49" s="847"/>
      <c r="Q49" s="874"/>
      <c r="R49" s="846">
        <f>入力シート!$BV$105</f>
        <v>0</v>
      </c>
      <c r="S49" s="847"/>
      <c r="T49" s="874"/>
      <c r="U49" s="846">
        <f>入力シート!$BV$107</f>
        <v>0</v>
      </c>
      <c r="V49" s="847"/>
      <c r="W49" s="848"/>
      <c r="X49" s="184">
        <f t="shared" si="3"/>
        <v>0</v>
      </c>
    </row>
    <row r="50" spans="1:30" customFormat="1" ht="26.25" customHeight="1" x14ac:dyDescent="0.2">
      <c r="A50" s="923"/>
      <c r="B50" s="925"/>
      <c r="C50" s="842"/>
      <c r="D50" s="843"/>
      <c r="E50" s="14" t="s">
        <v>45</v>
      </c>
      <c r="F50" s="854"/>
      <c r="G50" s="855"/>
      <c r="H50" s="856"/>
      <c r="I50" s="846">
        <f>入力シート!$BV$111</f>
        <v>0</v>
      </c>
      <c r="J50" s="847"/>
      <c r="K50" s="874"/>
      <c r="L50" s="846">
        <f>入力シート!$BV$113</f>
        <v>0</v>
      </c>
      <c r="M50" s="847"/>
      <c r="N50" s="874"/>
      <c r="O50" s="846">
        <f>入力シート!$BV$115</f>
        <v>0</v>
      </c>
      <c r="P50" s="847"/>
      <c r="Q50" s="874"/>
      <c r="R50" s="846">
        <f>入力シート!$BV$117</f>
        <v>0</v>
      </c>
      <c r="S50" s="847"/>
      <c r="T50" s="874"/>
      <c r="U50" s="846">
        <f>入力シート!$BV$119</f>
        <v>0</v>
      </c>
      <c r="V50" s="847"/>
      <c r="W50" s="848"/>
      <c r="X50" s="184">
        <f t="shared" si="3"/>
        <v>0</v>
      </c>
    </row>
    <row r="51" spans="1:30" customFormat="1" ht="26.25" customHeight="1" x14ac:dyDescent="0.2">
      <c r="A51" s="923"/>
      <c r="B51" s="925"/>
      <c r="C51" s="840" t="s">
        <v>287</v>
      </c>
      <c r="D51" s="841"/>
      <c r="E51" s="21" t="s">
        <v>41</v>
      </c>
      <c r="F51" s="854"/>
      <c r="G51" s="855"/>
      <c r="H51" s="856"/>
      <c r="I51" s="846">
        <f>入力シート!$BW$87</f>
        <v>0</v>
      </c>
      <c r="J51" s="847"/>
      <c r="K51" s="874"/>
      <c r="L51" s="846">
        <f>入力シート!$BW$89</f>
        <v>0</v>
      </c>
      <c r="M51" s="847"/>
      <c r="N51" s="874"/>
      <c r="O51" s="846">
        <f>入力シート!$BW$91</f>
        <v>0</v>
      </c>
      <c r="P51" s="847"/>
      <c r="Q51" s="874"/>
      <c r="R51" s="846">
        <f>入力シート!$BW$93</f>
        <v>0</v>
      </c>
      <c r="S51" s="847"/>
      <c r="T51" s="874"/>
      <c r="U51" s="846">
        <f>入力シート!$BW$95</f>
        <v>0</v>
      </c>
      <c r="V51" s="847"/>
      <c r="W51" s="848"/>
      <c r="X51" s="184">
        <f t="shared" si="3"/>
        <v>0</v>
      </c>
    </row>
    <row r="52" spans="1:30" customFormat="1" ht="26.25" customHeight="1" x14ac:dyDescent="0.2">
      <c r="A52" s="923"/>
      <c r="B52" s="925"/>
      <c r="C52" s="840"/>
      <c r="D52" s="841"/>
      <c r="E52" s="14" t="s">
        <v>43</v>
      </c>
      <c r="F52" s="854"/>
      <c r="G52" s="855"/>
      <c r="H52" s="856"/>
      <c r="I52" s="846">
        <f>入力シート!$BW$99</f>
        <v>0</v>
      </c>
      <c r="J52" s="847"/>
      <c r="K52" s="874"/>
      <c r="L52" s="846">
        <f>入力シート!$BW$101</f>
        <v>0</v>
      </c>
      <c r="M52" s="847"/>
      <c r="N52" s="874"/>
      <c r="O52" s="846">
        <f>入力シート!$BW$103</f>
        <v>0</v>
      </c>
      <c r="P52" s="847"/>
      <c r="Q52" s="874"/>
      <c r="R52" s="846">
        <f>入力シート!$BW$105</f>
        <v>0</v>
      </c>
      <c r="S52" s="847"/>
      <c r="T52" s="874"/>
      <c r="U52" s="846">
        <f>入力シート!$BW$107</f>
        <v>0</v>
      </c>
      <c r="V52" s="847"/>
      <c r="W52" s="848"/>
      <c r="X52" s="184">
        <f t="shared" si="3"/>
        <v>0</v>
      </c>
    </row>
    <row r="53" spans="1:30" customFormat="1" ht="26.25" customHeight="1" thickBot="1" x14ac:dyDescent="0.25">
      <c r="A53" s="923"/>
      <c r="B53" s="925"/>
      <c r="C53" s="842"/>
      <c r="D53" s="843"/>
      <c r="E53" s="14" t="s">
        <v>45</v>
      </c>
      <c r="F53" s="854"/>
      <c r="G53" s="855"/>
      <c r="H53" s="856"/>
      <c r="I53" s="846">
        <f>入力シート!$BW$111</f>
        <v>0</v>
      </c>
      <c r="J53" s="847"/>
      <c r="K53" s="874"/>
      <c r="L53" s="846">
        <f>入力シート!$BW$113</f>
        <v>0</v>
      </c>
      <c r="M53" s="847"/>
      <c r="N53" s="874"/>
      <c r="O53" s="846">
        <f>入力シート!$BW$115</f>
        <v>0</v>
      </c>
      <c r="P53" s="847"/>
      <c r="Q53" s="874"/>
      <c r="R53" s="846">
        <f>入力シート!$BW$117</f>
        <v>0</v>
      </c>
      <c r="S53" s="847"/>
      <c r="T53" s="874"/>
      <c r="U53" s="846">
        <f>入力シート!$BW$119</f>
        <v>0</v>
      </c>
      <c r="V53" s="847"/>
      <c r="W53" s="848"/>
      <c r="X53" s="184">
        <f>SUM(I53:W53)</f>
        <v>0</v>
      </c>
    </row>
    <row r="54" spans="1:30" customFormat="1" ht="26.25" customHeight="1" thickTop="1" x14ac:dyDescent="0.2">
      <c r="A54" s="923"/>
      <c r="B54" s="925"/>
      <c r="C54" s="844" t="s">
        <v>53</v>
      </c>
      <c r="D54" s="845"/>
      <c r="E54" s="14" t="s">
        <v>41</v>
      </c>
      <c r="F54" s="854"/>
      <c r="G54" s="855"/>
      <c r="H54" s="856"/>
      <c r="I54" s="846">
        <f>入力シート!$CC$87</f>
        <v>0</v>
      </c>
      <c r="J54" s="847"/>
      <c r="K54" s="874"/>
      <c r="L54" s="846">
        <f>入力シート!$CC$89</f>
        <v>0</v>
      </c>
      <c r="M54" s="847"/>
      <c r="N54" s="874"/>
      <c r="O54" s="975">
        <f>入力シート!$CC$91</f>
        <v>0</v>
      </c>
      <c r="P54" s="975"/>
      <c r="Q54" s="975"/>
      <c r="R54" s="975">
        <f>入力シート!$CC$93</f>
        <v>0</v>
      </c>
      <c r="S54" s="975"/>
      <c r="T54" s="975"/>
      <c r="U54" s="846">
        <f>入力シート!$CC$95</f>
        <v>0</v>
      </c>
      <c r="V54" s="847"/>
      <c r="W54" s="848"/>
      <c r="X54" s="185">
        <f t="shared" si="3"/>
        <v>0</v>
      </c>
      <c r="Z54" s="863" t="s">
        <v>59</v>
      </c>
      <c r="AA54" s="864"/>
    </row>
    <row r="55" spans="1:30" customFormat="1" ht="26.25" customHeight="1" x14ac:dyDescent="0.2">
      <c r="A55" s="923"/>
      <c r="B55" s="925"/>
      <c r="C55" s="840"/>
      <c r="D55" s="841"/>
      <c r="E55" s="14" t="s">
        <v>43</v>
      </c>
      <c r="F55" s="854"/>
      <c r="G55" s="855"/>
      <c r="H55" s="856"/>
      <c r="I55" s="846">
        <f>入力シート!$CC$99</f>
        <v>0</v>
      </c>
      <c r="J55" s="847"/>
      <c r="K55" s="874"/>
      <c r="L55" s="846">
        <f>入力シート!$CC$101</f>
        <v>0</v>
      </c>
      <c r="M55" s="847"/>
      <c r="N55" s="874"/>
      <c r="O55" s="975">
        <f>入力シート!$CC$103</f>
        <v>0</v>
      </c>
      <c r="P55" s="975"/>
      <c r="Q55" s="975"/>
      <c r="R55" s="975">
        <f>入力シート!$CC$105</f>
        <v>0</v>
      </c>
      <c r="S55" s="975"/>
      <c r="T55" s="975"/>
      <c r="U55" s="846">
        <f>入力シート!$CC$107</f>
        <v>0</v>
      </c>
      <c r="V55" s="847"/>
      <c r="W55" s="848"/>
      <c r="X55" s="184">
        <f t="shared" si="3"/>
        <v>0</v>
      </c>
      <c r="Z55" s="865">
        <f>SUM(X39:X56,X58:X75)</f>
        <v>0</v>
      </c>
      <c r="AA55" s="866"/>
    </row>
    <row r="56" spans="1:30" customFormat="1" ht="26.25" customHeight="1" thickBot="1" x14ac:dyDescent="0.25">
      <c r="A56" s="880"/>
      <c r="B56" s="881"/>
      <c r="C56" s="849"/>
      <c r="D56" s="850"/>
      <c r="E56" s="58" t="s">
        <v>45</v>
      </c>
      <c r="F56" s="961"/>
      <c r="G56" s="962"/>
      <c r="H56" s="963"/>
      <c r="I56" s="851">
        <f>入力シート!$CC$111</f>
        <v>0</v>
      </c>
      <c r="J56" s="852"/>
      <c r="K56" s="999"/>
      <c r="L56" s="851">
        <f>入力シート!$CC$113</f>
        <v>0</v>
      </c>
      <c r="M56" s="852"/>
      <c r="N56" s="999"/>
      <c r="O56" s="1060">
        <f>入力シート!$CC$115</f>
        <v>0</v>
      </c>
      <c r="P56" s="1060"/>
      <c r="Q56" s="1060"/>
      <c r="R56" s="1060">
        <f>入力シート!$CC$117</f>
        <v>0</v>
      </c>
      <c r="S56" s="1060"/>
      <c r="T56" s="1060"/>
      <c r="U56" s="851">
        <f>入力シート!$CC$119</f>
        <v>0</v>
      </c>
      <c r="V56" s="852"/>
      <c r="W56" s="853"/>
      <c r="X56" s="186">
        <f>SUM(I56:W56)</f>
        <v>0</v>
      </c>
      <c r="Z56" s="867"/>
      <c r="AA56" s="868"/>
    </row>
    <row r="57" spans="1:30" customFormat="1" ht="20.100000000000001" customHeight="1" thickBot="1" x14ac:dyDescent="0.25">
      <c r="A57" s="11"/>
      <c r="B57" s="1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2"/>
    </row>
    <row r="58" spans="1:30" customFormat="1" ht="26.25" customHeight="1" x14ac:dyDescent="0.2">
      <c r="A58" s="832" t="s">
        <v>843</v>
      </c>
      <c r="B58" s="833"/>
      <c r="C58" s="838" t="s">
        <v>214</v>
      </c>
      <c r="D58" s="839"/>
      <c r="E58" s="17" t="s">
        <v>39</v>
      </c>
      <c r="F58" s="958">
        <f>マスターズ用入力シート!$BP$73</f>
        <v>0</v>
      </c>
      <c r="G58" s="959"/>
      <c r="H58" s="960"/>
      <c r="I58" s="958">
        <f>マスターズ用入力シート!$BP$75</f>
        <v>0</v>
      </c>
      <c r="J58" s="959"/>
      <c r="K58" s="960"/>
      <c r="L58" s="958">
        <f>マスターズ用入力シート!$BP$77</f>
        <v>0</v>
      </c>
      <c r="M58" s="959"/>
      <c r="N58" s="960"/>
      <c r="O58" s="958">
        <f>マスターズ用入力シート!$BP$79</f>
        <v>0</v>
      </c>
      <c r="P58" s="959"/>
      <c r="Q58" s="960"/>
      <c r="R58" s="958">
        <f>マスターズ用入力シート!$BP$81</f>
        <v>0</v>
      </c>
      <c r="S58" s="959"/>
      <c r="T58" s="960"/>
      <c r="U58" s="958">
        <f>マスターズ用入力シート!$BP$83</f>
        <v>0</v>
      </c>
      <c r="V58" s="959"/>
      <c r="W58" s="964"/>
      <c r="X58" s="315">
        <f>SUM(F58:W58)</f>
        <v>0</v>
      </c>
      <c r="Z58" s="509"/>
      <c r="AA58" s="509"/>
      <c r="AC58" s="2"/>
      <c r="AD58" s="2"/>
    </row>
    <row r="59" spans="1:30" customFormat="1" ht="26.25" customHeight="1" x14ac:dyDescent="0.2">
      <c r="A59" s="834"/>
      <c r="B59" s="835"/>
      <c r="C59" s="840"/>
      <c r="D59" s="841"/>
      <c r="E59" s="14" t="s">
        <v>41</v>
      </c>
      <c r="F59" s="871">
        <f>マスターズ用入力シート!$BP$85</f>
        <v>0</v>
      </c>
      <c r="G59" s="872"/>
      <c r="H59" s="873"/>
      <c r="I59" s="846">
        <f>マスターズ用入力シート!$BP$87</f>
        <v>0</v>
      </c>
      <c r="J59" s="847"/>
      <c r="K59" s="874"/>
      <c r="L59" s="846">
        <f>マスターズ用入力シート!$BP$89</f>
        <v>0</v>
      </c>
      <c r="M59" s="847"/>
      <c r="N59" s="874"/>
      <c r="O59" s="846">
        <f>マスターズ用入力シート!$BP$91</f>
        <v>0</v>
      </c>
      <c r="P59" s="847"/>
      <c r="Q59" s="874"/>
      <c r="R59" s="846">
        <f>マスターズ用入力シート!$BP$93</f>
        <v>0</v>
      </c>
      <c r="S59" s="847"/>
      <c r="T59" s="874"/>
      <c r="U59" s="846">
        <f>マスターズ用入力シート!$BP$95</f>
        <v>0</v>
      </c>
      <c r="V59" s="847"/>
      <c r="W59" s="848"/>
      <c r="X59" s="185">
        <f>SUM(F59:W59)</f>
        <v>0</v>
      </c>
      <c r="Z59" s="2"/>
      <c r="AA59" s="2"/>
      <c r="AC59" s="2"/>
      <c r="AD59" s="2"/>
    </row>
    <row r="60" spans="1:30" customFormat="1" ht="26.25" customHeight="1" x14ac:dyDescent="0.2">
      <c r="A60" s="834"/>
      <c r="B60" s="835"/>
      <c r="C60" s="840"/>
      <c r="D60" s="841"/>
      <c r="E60" s="14" t="s">
        <v>43</v>
      </c>
      <c r="F60" s="871">
        <f>マスターズ用入力シート!$BP$97</f>
        <v>0</v>
      </c>
      <c r="G60" s="872"/>
      <c r="H60" s="873"/>
      <c r="I60" s="846">
        <f>マスターズ用入力シート!$BP$99</f>
        <v>0</v>
      </c>
      <c r="J60" s="847"/>
      <c r="K60" s="874"/>
      <c r="L60" s="846">
        <f>マスターズ用入力シート!$BP$101</f>
        <v>0</v>
      </c>
      <c r="M60" s="847"/>
      <c r="N60" s="874"/>
      <c r="O60" s="846">
        <f>マスターズ用入力シート!$BP$103</f>
        <v>0</v>
      </c>
      <c r="P60" s="847"/>
      <c r="Q60" s="874"/>
      <c r="R60" s="846">
        <f>マスターズ用入力シート!$BP$105</f>
        <v>0</v>
      </c>
      <c r="S60" s="847"/>
      <c r="T60" s="874"/>
      <c r="U60" s="846">
        <f>マスターズ用入力シート!$BP$107</f>
        <v>0</v>
      </c>
      <c r="V60" s="847"/>
      <c r="W60" s="848"/>
      <c r="X60" s="185">
        <f>SUM(F60:W60)</f>
        <v>0</v>
      </c>
      <c r="AC60" s="2"/>
      <c r="AD60" s="2"/>
    </row>
    <row r="61" spans="1:30" customFormat="1" ht="26.25" customHeight="1" x14ac:dyDescent="0.2">
      <c r="A61" s="834"/>
      <c r="B61" s="835"/>
      <c r="C61" s="842"/>
      <c r="D61" s="843"/>
      <c r="E61" s="14" t="s">
        <v>45</v>
      </c>
      <c r="F61" s="871">
        <f>マスターズ用入力シート!$BP$109</f>
        <v>0</v>
      </c>
      <c r="G61" s="872"/>
      <c r="H61" s="873"/>
      <c r="I61" s="846">
        <f>マスターズ用入力シート!$BP$111</f>
        <v>0</v>
      </c>
      <c r="J61" s="847"/>
      <c r="K61" s="874"/>
      <c r="L61" s="846">
        <f>マスターズ用入力シート!$BP$113</f>
        <v>0</v>
      </c>
      <c r="M61" s="847"/>
      <c r="N61" s="874"/>
      <c r="O61" s="846">
        <f>マスターズ用入力シート!$BP$115</f>
        <v>0</v>
      </c>
      <c r="P61" s="847"/>
      <c r="Q61" s="874"/>
      <c r="R61" s="846">
        <f>マスターズ用入力シート!$BP$117</f>
        <v>0</v>
      </c>
      <c r="S61" s="847"/>
      <c r="T61" s="874"/>
      <c r="U61" s="846">
        <f>マスターズ用入力シート!$BP$119</f>
        <v>0</v>
      </c>
      <c r="V61" s="847"/>
      <c r="W61" s="848"/>
      <c r="X61" s="185">
        <f>SUM(F61:W61)</f>
        <v>0</v>
      </c>
      <c r="AC61" s="2"/>
      <c r="AD61" s="2"/>
    </row>
    <row r="62" spans="1:30" customFormat="1" ht="26.25" customHeight="1" x14ac:dyDescent="0.2">
      <c r="A62" s="834"/>
      <c r="B62" s="835"/>
      <c r="C62" s="844" t="s">
        <v>51</v>
      </c>
      <c r="D62" s="845"/>
      <c r="E62" s="14" t="s">
        <v>41</v>
      </c>
      <c r="F62" s="854"/>
      <c r="G62" s="855"/>
      <c r="H62" s="856"/>
      <c r="I62" s="846">
        <f>マスターズ用入力シート!$BQ$87</f>
        <v>0</v>
      </c>
      <c r="J62" s="847"/>
      <c r="K62" s="874"/>
      <c r="L62" s="846">
        <f>マスターズ用入力シート!$BQ$89</f>
        <v>0</v>
      </c>
      <c r="M62" s="847"/>
      <c r="N62" s="874"/>
      <c r="O62" s="846">
        <f>マスターズ用入力シート!$BQ$91</f>
        <v>0</v>
      </c>
      <c r="P62" s="847"/>
      <c r="Q62" s="874"/>
      <c r="R62" s="846">
        <f>マスターズ用入力シート!$BQ$93</f>
        <v>0</v>
      </c>
      <c r="S62" s="847"/>
      <c r="T62" s="874"/>
      <c r="U62" s="846">
        <f>マスターズ用入力シート!$BQ$95</f>
        <v>0</v>
      </c>
      <c r="V62" s="847"/>
      <c r="W62" s="848"/>
      <c r="X62" s="184">
        <f>SUM(I62:W62)</f>
        <v>0</v>
      </c>
    </row>
    <row r="63" spans="1:30" customFormat="1" ht="26.25" customHeight="1" x14ac:dyDescent="0.2">
      <c r="A63" s="834"/>
      <c r="B63" s="835"/>
      <c r="C63" s="840"/>
      <c r="D63" s="841"/>
      <c r="E63" s="14" t="s">
        <v>43</v>
      </c>
      <c r="F63" s="854"/>
      <c r="G63" s="855"/>
      <c r="H63" s="856"/>
      <c r="I63" s="846">
        <f>マスターズ用入力シート!$BQ$99</f>
        <v>0</v>
      </c>
      <c r="J63" s="847"/>
      <c r="K63" s="874"/>
      <c r="L63" s="846">
        <f>マスターズ用入力シート!$BQ$101</f>
        <v>0</v>
      </c>
      <c r="M63" s="847"/>
      <c r="N63" s="874"/>
      <c r="O63" s="846">
        <f>マスターズ用入力シート!$BQ$103</f>
        <v>0</v>
      </c>
      <c r="P63" s="847"/>
      <c r="Q63" s="874"/>
      <c r="R63" s="846">
        <f>マスターズ用入力シート!$BQ$105</f>
        <v>0</v>
      </c>
      <c r="S63" s="847"/>
      <c r="T63" s="874"/>
      <c r="U63" s="846">
        <f>マスターズ用入力シート!$BQ$107</f>
        <v>0</v>
      </c>
      <c r="V63" s="847"/>
      <c r="W63" s="848"/>
      <c r="X63" s="184">
        <f t="shared" ref="X63:X71" si="4">SUM(I63:W63)</f>
        <v>0</v>
      </c>
    </row>
    <row r="64" spans="1:30" customFormat="1" ht="26.25" customHeight="1" x14ac:dyDescent="0.2">
      <c r="A64" s="834"/>
      <c r="B64" s="835"/>
      <c r="C64" s="842"/>
      <c r="D64" s="843"/>
      <c r="E64" s="14" t="s">
        <v>45</v>
      </c>
      <c r="F64" s="854"/>
      <c r="G64" s="855"/>
      <c r="H64" s="856"/>
      <c r="I64" s="846">
        <f>マスターズ用入力シート!$BQ$111</f>
        <v>0</v>
      </c>
      <c r="J64" s="847"/>
      <c r="K64" s="874"/>
      <c r="L64" s="846">
        <f>マスターズ用入力シート!$BQ$113</f>
        <v>0</v>
      </c>
      <c r="M64" s="847"/>
      <c r="N64" s="874"/>
      <c r="O64" s="846">
        <f>マスターズ用入力シート!$BQ$115</f>
        <v>0</v>
      </c>
      <c r="P64" s="847"/>
      <c r="Q64" s="874"/>
      <c r="R64" s="846">
        <f>マスターズ用入力シート!$BQ$117</f>
        <v>0</v>
      </c>
      <c r="S64" s="847"/>
      <c r="T64" s="874"/>
      <c r="U64" s="846">
        <f>マスターズ用入力シート!$BQ$119</f>
        <v>0</v>
      </c>
      <c r="V64" s="847"/>
      <c r="W64" s="848"/>
      <c r="X64" s="184">
        <f t="shared" si="4"/>
        <v>0</v>
      </c>
    </row>
    <row r="65" spans="1:29" customFormat="1" ht="26.25" customHeight="1" x14ac:dyDescent="0.2">
      <c r="A65" s="834"/>
      <c r="B65" s="835"/>
      <c r="C65" s="844" t="s">
        <v>52</v>
      </c>
      <c r="D65" s="845"/>
      <c r="E65" s="14" t="s">
        <v>41</v>
      </c>
      <c r="F65" s="854"/>
      <c r="G65" s="855"/>
      <c r="H65" s="856"/>
      <c r="I65" s="846">
        <f>マスターズ用入力シート!$BR$87</f>
        <v>0</v>
      </c>
      <c r="J65" s="847"/>
      <c r="K65" s="874"/>
      <c r="L65" s="846">
        <f>マスターズ用入力シート!$BR$89</f>
        <v>0</v>
      </c>
      <c r="M65" s="847"/>
      <c r="N65" s="874"/>
      <c r="O65" s="846">
        <f>マスターズ用入力シート!$BR$91</f>
        <v>0</v>
      </c>
      <c r="P65" s="847"/>
      <c r="Q65" s="874"/>
      <c r="R65" s="846">
        <f>マスターズ用入力シート!$BR$93</f>
        <v>0</v>
      </c>
      <c r="S65" s="847"/>
      <c r="T65" s="874"/>
      <c r="U65" s="846">
        <f>マスターズ用入力シート!$BR$95</f>
        <v>0</v>
      </c>
      <c r="V65" s="847"/>
      <c r="W65" s="848"/>
      <c r="X65" s="184">
        <f t="shared" si="4"/>
        <v>0</v>
      </c>
    </row>
    <row r="66" spans="1:29" customFormat="1" ht="26.25" customHeight="1" x14ac:dyDescent="0.2">
      <c r="A66" s="834"/>
      <c r="B66" s="835"/>
      <c r="C66" s="842"/>
      <c r="D66" s="843"/>
      <c r="E66" s="14" t="s">
        <v>45</v>
      </c>
      <c r="F66" s="854"/>
      <c r="G66" s="855"/>
      <c r="H66" s="856"/>
      <c r="I66" s="846">
        <f>マスターズ用入力シート!$BR$111</f>
        <v>0</v>
      </c>
      <c r="J66" s="847"/>
      <c r="K66" s="874"/>
      <c r="L66" s="846">
        <f>マスターズ用入力シート!$BR$113</f>
        <v>0</v>
      </c>
      <c r="M66" s="847"/>
      <c r="N66" s="874"/>
      <c r="O66" s="846">
        <f>マスターズ用入力シート!$BR$115</f>
        <v>0</v>
      </c>
      <c r="P66" s="847"/>
      <c r="Q66" s="874"/>
      <c r="R66" s="846">
        <f>マスターズ用入力シート!$BR$117</f>
        <v>0</v>
      </c>
      <c r="S66" s="847"/>
      <c r="T66" s="874"/>
      <c r="U66" s="846">
        <f>マスターズ用入力シート!$BR$119</f>
        <v>0</v>
      </c>
      <c r="V66" s="847"/>
      <c r="W66" s="848"/>
      <c r="X66" s="184">
        <f t="shared" si="4"/>
        <v>0</v>
      </c>
    </row>
    <row r="67" spans="1:29" customFormat="1" ht="26.25" customHeight="1" x14ac:dyDescent="0.2">
      <c r="A67" s="834"/>
      <c r="B67" s="835"/>
      <c r="C67" s="844" t="s">
        <v>218</v>
      </c>
      <c r="D67" s="845"/>
      <c r="E67" s="14" t="s">
        <v>41</v>
      </c>
      <c r="F67" s="854"/>
      <c r="G67" s="855"/>
      <c r="H67" s="856"/>
      <c r="I67" s="846">
        <f>マスターズ用入力シート!$BS$87</f>
        <v>0</v>
      </c>
      <c r="J67" s="847"/>
      <c r="K67" s="874"/>
      <c r="L67" s="846">
        <f>マスターズ用入力シート!$BS$89</f>
        <v>0</v>
      </c>
      <c r="M67" s="847"/>
      <c r="N67" s="874"/>
      <c r="O67" s="846">
        <f>マスターズ用入力シート!$BS$91</f>
        <v>0</v>
      </c>
      <c r="P67" s="847"/>
      <c r="Q67" s="874"/>
      <c r="R67" s="846">
        <f>マスターズ用入力シート!$BS$93</f>
        <v>0</v>
      </c>
      <c r="S67" s="847"/>
      <c r="T67" s="874"/>
      <c r="U67" s="846">
        <f>マスターズ用入力シート!$BS$95</f>
        <v>0</v>
      </c>
      <c r="V67" s="847"/>
      <c r="W67" s="848"/>
      <c r="X67" s="184">
        <f t="shared" si="4"/>
        <v>0</v>
      </c>
    </row>
    <row r="68" spans="1:29" customFormat="1" ht="26.25" customHeight="1" x14ac:dyDescent="0.2">
      <c r="A68" s="834"/>
      <c r="B68" s="835"/>
      <c r="C68" s="840"/>
      <c r="D68" s="841"/>
      <c r="E68" s="14" t="s">
        <v>43</v>
      </c>
      <c r="F68" s="854"/>
      <c r="G68" s="855"/>
      <c r="H68" s="856"/>
      <c r="I68" s="846">
        <f>マスターズ用入力シート!$BS$99</f>
        <v>0</v>
      </c>
      <c r="J68" s="847"/>
      <c r="K68" s="874"/>
      <c r="L68" s="846">
        <f>マスターズ用入力シート!$BS$101</f>
        <v>0</v>
      </c>
      <c r="M68" s="847"/>
      <c r="N68" s="874"/>
      <c r="O68" s="846">
        <f>マスターズ用入力シート!$BS$103</f>
        <v>0</v>
      </c>
      <c r="P68" s="847"/>
      <c r="Q68" s="874"/>
      <c r="R68" s="846">
        <f>マスターズ用入力シート!$BS$105</f>
        <v>0</v>
      </c>
      <c r="S68" s="847"/>
      <c r="T68" s="874"/>
      <c r="U68" s="846">
        <f>マスターズ用入力シート!$BS$107</f>
        <v>0</v>
      </c>
      <c r="V68" s="847"/>
      <c r="W68" s="848"/>
      <c r="X68" s="184">
        <f t="shared" si="4"/>
        <v>0</v>
      </c>
    </row>
    <row r="69" spans="1:29" customFormat="1" ht="26.25" customHeight="1" x14ac:dyDescent="0.2">
      <c r="A69" s="834"/>
      <c r="B69" s="835"/>
      <c r="C69" s="842"/>
      <c r="D69" s="843"/>
      <c r="E69" s="14" t="s">
        <v>45</v>
      </c>
      <c r="F69" s="854"/>
      <c r="G69" s="855"/>
      <c r="H69" s="856"/>
      <c r="I69" s="846">
        <f>マスターズ用入力シート!$BS$111</f>
        <v>0</v>
      </c>
      <c r="J69" s="847"/>
      <c r="K69" s="874"/>
      <c r="L69" s="846">
        <f>マスターズ用入力シート!$BS$113</f>
        <v>0</v>
      </c>
      <c r="M69" s="847"/>
      <c r="N69" s="874"/>
      <c r="O69" s="846">
        <f>マスターズ用入力シート!$BS$115</f>
        <v>0</v>
      </c>
      <c r="P69" s="847"/>
      <c r="Q69" s="874"/>
      <c r="R69" s="846">
        <f>マスターズ用入力シート!$BS$117</f>
        <v>0</v>
      </c>
      <c r="S69" s="847"/>
      <c r="T69" s="874"/>
      <c r="U69" s="846">
        <f>マスターズ用入力シート!$BS$119</f>
        <v>0</v>
      </c>
      <c r="V69" s="847"/>
      <c r="W69" s="848"/>
      <c r="X69" s="184">
        <f t="shared" si="4"/>
        <v>0</v>
      </c>
    </row>
    <row r="70" spans="1:29" customFormat="1" ht="26.25" customHeight="1" x14ac:dyDescent="0.2">
      <c r="A70" s="834"/>
      <c r="B70" s="835"/>
      <c r="C70" s="840" t="s">
        <v>287</v>
      </c>
      <c r="D70" s="841"/>
      <c r="E70" s="21" t="s">
        <v>41</v>
      </c>
      <c r="F70" s="854"/>
      <c r="G70" s="855"/>
      <c r="H70" s="856"/>
      <c r="I70" s="846">
        <f>マスターズ用入力シート!$BT$87</f>
        <v>0</v>
      </c>
      <c r="J70" s="847"/>
      <c r="K70" s="874"/>
      <c r="L70" s="846">
        <f>マスターズ用入力シート!$BT$89</f>
        <v>0</v>
      </c>
      <c r="M70" s="847"/>
      <c r="N70" s="874"/>
      <c r="O70" s="846">
        <f>マスターズ用入力シート!$BT$91</f>
        <v>0</v>
      </c>
      <c r="P70" s="847"/>
      <c r="Q70" s="874"/>
      <c r="R70" s="846">
        <f>マスターズ用入力シート!$BT$93</f>
        <v>0</v>
      </c>
      <c r="S70" s="847"/>
      <c r="T70" s="874"/>
      <c r="U70" s="846">
        <f>マスターズ用入力シート!$BT$95</f>
        <v>0</v>
      </c>
      <c r="V70" s="847"/>
      <c r="W70" s="848"/>
      <c r="X70" s="184">
        <f t="shared" si="4"/>
        <v>0</v>
      </c>
    </row>
    <row r="71" spans="1:29" customFormat="1" ht="26.25" customHeight="1" x14ac:dyDescent="0.2">
      <c r="A71" s="834"/>
      <c r="B71" s="835"/>
      <c r="C71" s="840"/>
      <c r="D71" s="841"/>
      <c r="E71" s="14" t="s">
        <v>43</v>
      </c>
      <c r="F71" s="854"/>
      <c r="G71" s="855"/>
      <c r="H71" s="856"/>
      <c r="I71" s="846">
        <f>マスターズ用入力シート!$BT$99</f>
        <v>0</v>
      </c>
      <c r="J71" s="847"/>
      <c r="K71" s="874"/>
      <c r="L71" s="846">
        <f>マスターズ用入力シート!$BT$101</f>
        <v>0</v>
      </c>
      <c r="M71" s="847"/>
      <c r="N71" s="874"/>
      <c r="O71" s="846">
        <f>マスターズ用入力シート!$BT$103</f>
        <v>0</v>
      </c>
      <c r="P71" s="847"/>
      <c r="Q71" s="874"/>
      <c r="R71" s="846">
        <f>マスターズ用入力シート!$BT$105</f>
        <v>0</v>
      </c>
      <c r="S71" s="847"/>
      <c r="T71" s="874"/>
      <c r="U71" s="846">
        <f>マスターズ用入力シート!$BT$107</f>
        <v>0</v>
      </c>
      <c r="V71" s="847"/>
      <c r="W71" s="848"/>
      <c r="X71" s="184">
        <f t="shared" si="4"/>
        <v>0</v>
      </c>
    </row>
    <row r="72" spans="1:29" customFormat="1" ht="26.25" customHeight="1" x14ac:dyDescent="0.2">
      <c r="A72" s="834"/>
      <c r="B72" s="835"/>
      <c r="C72" s="842"/>
      <c r="D72" s="843"/>
      <c r="E72" s="14" t="s">
        <v>45</v>
      </c>
      <c r="F72" s="854"/>
      <c r="G72" s="855"/>
      <c r="H72" s="856"/>
      <c r="I72" s="846">
        <f>マスターズ用入力シート!$BT$111</f>
        <v>0</v>
      </c>
      <c r="J72" s="847"/>
      <c r="K72" s="874"/>
      <c r="L72" s="846">
        <f>マスターズ用入力シート!$BT$113</f>
        <v>0</v>
      </c>
      <c r="M72" s="847"/>
      <c r="N72" s="874"/>
      <c r="O72" s="846">
        <f>マスターズ用入力シート!$BT$115</f>
        <v>0</v>
      </c>
      <c r="P72" s="847"/>
      <c r="Q72" s="874"/>
      <c r="R72" s="846">
        <f>マスターズ用入力シート!$BT$117</f>
        <v>0</v>
      </c>
      <c r="S72" s="847"/>
      <c r="T72" s="874"/>
      <c r="U72" s="846">
        <f>マスターズ用入力シート!$BT$119</f>
        <v>0</v>
      </c>
      <c r="V72" s="847"/>
      <c r="W72" s="848"/>
      <c r="X72" s="184">
        <f>SUM(I72:W72)</f>
        <v>0</v>
      </c>
    </row>
    <row r="73" spans="1:29" customFormat="1" ht="26.25" customHeight="1" x14ac:dyDescent="0.2">
      <c r="A73" s="834"/>
      <c r="B73" s="835"/>
      <c r="C73" s="844" t="s">
        <v>53</v>
      </c>
      <c r="D73" s="845"/>
      <c r="E73" s="14" t="s">
        <v>41</v>
      </c>
      <c r="F73" s="854"/>
      <c r="G73" s="855"/>
      <c r="H73" s="856"/>
      <c r="I73" s="846">
        <f>マスターズ用入力シート!$BZ$87</f>
        <v>0</v>
      </c>
      <c r="J73" s="847"/>
      <c r="K73" s="874"/>
      <c r="L73" s="846">
        <f>マスターズ用入力シート!$BZ$89</f>
        <v>0</v>
      </c>
      <c r="M73" s="847"/>
      <c r="N73" s="874"/>
      <c r="O73" s="975">
        <f>マスターズ用入力シート!$BZ$91</f>
        <v>0</v>
      </c>
      <c r="P73" s="975"/>
      <c r="Q73" s="975"/>
      <c r="R73" s="975">
        <f>マスターズ用入力シート!$BZ$93</f>
        <v>0</v>
      </c>
      <c r="S73" s="975"/>
      <c r="T73" s="975"/>
      <c r="U73" s="846">
        <f>マスターズ用入力シート!$BZ$95</f>
        <v>0</v>
      </c>
      <c r="V73" s="847"/>
      <c r="W73" s="848"/>
      <c r="X73" s="185">
        <f t="shared" ref="X73:X74" si="5">SUM(I73:W73)</f>
        <v>0</v>
      </c>
    </row>
    <row r="74" spans="1:29" customFormat="1" ht="26.25" customHeight="1" x14ac:dyDescent="0.2">
      <c r="A74" s="834"/>
      <c r="B74" s="835"/>
      <c r="C74" s="840"/>
      <c r="D74" s="841"/>
      <c r="E74" s="14" t="s">
        <v>43</v>
      </c>
      <c r="F74" s="854"/>
      <c r="G74" s="855"/>
      <c r="H74" s="856"/>
      <c r="I74" s="846">
        <f>マスターズ用入力シート!$BZ$99</f>
        <v>0</v>
      </c>
      <c r="J74" s="847"/>
      <c r="K74" s="874"/>
      <c r="L74" s="846">
        <f>マスターズ用入力シート!$BZ$101</f>
        <v>0</v>
      </c>
      <c r="M74" s="847"/>
      <c r="N74" s="874"/>
      <c r="O74" s="975">
        <f>マスターズ用入力シート!$BZ$103</f>
        <v>0</v>
      </c>
      <c r="P74" s="975"/>
      <c r="Q74" s="975"/>
      <c r="R74" s="975">
        <f>マスターズ用入力シート!$BZ$105</f>
        <v>0</v>
      </c>
      <c r="S74" s="975"/>
      <c r="T74" s="975"/>
      <c r="U74" s="846">
        <f>マスターズ用入力シート!$BZ$107</f>
        <v>0</v>
      </c>
      <c r="V74" s="847"/>
      <c r="W74" s="848"/>
      <c r="X74" s="184">
        <f t="shared" si="5"/>
        <v>0</v>
      </c>
    </row>
    <row r="75" spans="1:29" customFormat="1" ht="26.25" customHeight="1" thickBot="1" x14ac:dyDescent="0.25">
      <c r="A75" s="836"/>
      <c r="B75" s="837"/>
      <c r="C75" s="849"/>
      <c r="D75" s="850"/>
      <c r="E75" s="58" t="s">
        <v>45</v>
      </c>
      <c r="F75" s="961"/>
      <c r="G75" s="962"/>
      <c r="H75" s="963"/>
      <c r="I75" s="851">
        <f>マスターズ用入力シート!$BZ$111</f>
        <v>0</v>
      </c>
      <c r="J75" s="852"/>
      <c r="K75" s="999"/>
      <c r="L75" s="851">
        <f>マスターズ用入力シート!$BZ$113</f>
        <v>0</v>
      </c>
      <c r="M75" s="852"/>
      <c r="N75" s="999"/>
      <c r="O75" s="1060">
        <f>マスターズ用入力シート!$BZ$115</f>
        <v>0</v>
      </c>
      <c r="P75" s="1060"/>
      <c r="Q75" s="1060"/>
      <c r="R75" s="1060">
        <f>マスターズ用入力シート!$BZ$117</f>
        <v>0</v>
      </c>
      <c r="S75" s="1060"/>
      <c r="T75" s="1060"/>
      <c r="U75" s="851">
        <f>マスターズ用入力シート!$BZ$119</f>
        <v>0</v>
      </c>
      <c r="V75" s="852"/>
      <c r="W75" s="853"/>
      <c r="X75" s="186">
        <f>SUM(I75:W75)</f>
        <v>0</v>
      </c>
    </row>
    <row r="76" spans="1:29" customFormat="1" ht="20.100000000000001" customHeight="1" thickBot="1" x14ac:dyDescent="0.25">
      <c r="A76" s="11"/>
      <c r="B76" s="1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2"/>
    </row>
    <row r="77" spans="1:29" customFormat="1" ht="38.25" customHeight="1" thickBot="1" x14ac:dyDescent="0.25">
      <c r="C77" s="317"/>
      <c r="D77" s="317"/>
      <c r="E77" s="194" t="s">
        <v>48</v>
      </c>
      <c r="F77" s="957" t="s">
        <v>759</v>
      </c>
      <c r="G77" s="957"/>
      <c r="H77" s="957"/>
      <c r="I77" s="957" t="s">
        <v>744</v>
      </c>
      <c r="J77" s="957"/>
      <c r="K77" s="957"/>
      <c r="L77" s="957" t="s">
        <v>751</v>
      </c>
      <c r="M77" s="957"/>
      <c r="N77" s="957"/>
      <c r="O77" s="957" t="s">
        <v>758</v>
      </c>
      <c r="P77" s="957"/>
      <c r="Q77" s="957"/>
      <c r="R77" s="957" t="s">
        <v>766</v>
      </c>
      <c r="S77" s="957"/>
      <c r="T77" s="957"/>
      <c r="U77" s="1097" t="s">
        <v>773</v>
      </c>
      <c r="V77" s="1098"/>
      <c r="W77" s="1098"/>
      <c r="X77" s="195" t="s">
        <v>29</v>
      </c>
      <c r="Y77" s="2"/>
    </row>
    <row r="78" spans="1:29" customFormat="1" ht="25.5" customHeight="1" thickTop="1" x14ac:dyDescent="0.2">
      <c r="A78" s="965" t="s">
        <v>699</v>
      </c>
      <c r="B78" s="966"/>
      <c r="C78" s="838" t="s">
        <v>16</v>
      </c>
      <c r="D78" s="971"/>
      <c r="E78" s="142"/>
      <c r="F78" s="949">
        <f>入力シート!$CG$72</f>
        <v>0</v>
      </c>
      <c r="G78" s="949"/>
      <c r="H78" s="949"/>
      <c r="I78" s="949">
        <f>入力シート!$CG$73</f>
        <v>0</v>
      </c>
      <c r="J78" s="949"/>
      <c r="K78" s="949"/>
      <c r="L78" s="949">
        <f>入力シート!$CG$74</f>
        <v>0</v>
      </c>
      <c r="M78" s="949"/>
      <c r="N78" s="949"/>
      <c r="O78" s="949">
        <f>入力シート!$CG$75</f>
        <v>0</v>
      </c>
      <c r="P78" s="949"/>
      <c r="Q78" s="949"/>
      <c r="R78" s="949">
        <f>入力シート!$CG$76</f>
        <v>0</v>
      </c>
      <c r="S78" s="949"/>
      <c r="T78" s="949"/>
      <c r="U78" s="949">
        <f>入力シート!$CG$77</f>
        <v>0</v>
      </c>
      <c r="V78" s="949"/>
      <c r="W78" s="974"/>
      <c r="X78" s="329">
        <f>SUM(F78:W78)</f>
        <v>0</v>
      </c>
      <c r="Y78" s="2"/>
      <c r="Z78" s="2"/>
      <c r="AA78" s="2"/>
    </row>
    <row r="79" spans="1:29" customFormat="1" ht="25.5" customHeight="1" x14ac:dyDescent="0.2">
      <c r="A79" s="967"/>
      <c r="B79" s="968"/>
      <c r="C79" s="972" t="s">
        <v>19</v>
      </c>
      <c r="D79" s="973"/>
      <c r="E79" s="15"/>
      <c r="F79" s="953">
        <f>入力シート!$CI$73</f>
        <v>0</v>
      </c>
      <c r="G79" s="954"/>
      <c r="H79" s="954"/>
      <c r="I79" s="954"/>
      <c r="J79" s="954"/>
      <c r="K79" s="955"/>
      <c r="L79" s="949">
        <f>入力シート!$CI$74</f>
        <v>0</v>
      </c>
      <c r="M79" s="949"/>
      <c r="N79" s="949"/>
      <c r="O79" s="949">
        <f>入力シート!$CI$75</f>
        <v>0</v>
      </c>
      <c r="P79" s="949"/>
      <c r="Q79" s="949"/>
      <c r="R79" s="949">
        <f>入力シート!$CI$76</f>
        <v>0</v>
      </c>
      <c r="S79" s="949"/>
      <c r="T79" s="949"/>
      <c r="U79" s="949">
        <f>入力シート!$CI$77</f>
        <v>0</v>
      </c>
      <c r="V79" s="949"/>
      <c r="W79" s="974"/>
      <c r="X79" s="328">
        <f>SUM(F79:W79)</f>
        <v>0</v>
      </c>
      <c r="Y79" s="2"/>
      <c r="Z79" s="2"/>
      <c r="AA79" s="2"/>
    </row>
    <row r="80" spans="1:29" customFormat="1" ht="25.5" customHeight="1" thickBot="1" x14ac:dyDescent="0.25">
      <c r="A80" s="967"/>
      <c r="B80" s="968"/>
      <c r="C80" s="972" t="s">
        <v>30</v>
      </c>
      <c r="D80" s="973"/>
      <c r="E80" s="15"/>
      <c r="F80" s="953">
        <f>入力シート!$CK$73</f>
        <v>0</v>
      </c>
      <c r="G80" s="954"/>
      <c r="H80" s="954"/>
      <c r="I80" s="954"/>
      <c r="J80" s="954"/>
      <c r="K80" s="955"/>
      <c r="L80" s="949">
        <f>入力シート!$CK$74</f>
        <v>0</v>
      </c>
      <c r="M80" s="949"/>
      <c r="N80" s="949"/>
      <c r="O80" s="949">
        <f>入力シート!$CK$75</f>
        <v>0</v>
      </c>
      <c r="P80" s="949"/>
      <c r="Q80" s="949"/>
      <c r="R80" s="949">
        <f>入力シート!$CK$76</f>
        <v>0</v>
      </c>
      <c r="S80" s="949"/>
      <c r="T80" s="949"/>
      <c r="U80" s="949">
        <f>入力シート!$CK$77</f>
        <v>0</v>
      </c>
      <c r="V80" s="949"/>
      <c r="W80" s="974"/>
      <c r="X80" s="328">
        <f t="shared" ref="X80:X82" si="6">SUM(F80:W80)</f>
        <v>0</v>
      </c>
      <c r="Y80" s="2"/>
      <c r="Z80" s="2"/>
      <c r="AA80" s="2"/>
      <c r="AB80" s="2"/>
      <c r="AC80" s="2"/>
    </row>
    <row r="81" spans="1:30" customFormat="1" ht="25.5" customHeight="1" thickTop="1" x14ac:dyDescent="0.2">
      <c r="A81" s="967"/>
      <c r="B81" s="968"/>
      <c r="C81" s="986" t="s">
        <v>20</v>
      </c>
      <c r="D81" s="987"/>
      <c r="E81" s="15"/>
      <c r="F81" s="953">
        <f>入力シート!$CM$73</f>
        <v>0</v>
      </c>
      <c r="G81" s="954"/>
      <c r="H81" s="954"/>
      <c r="I81" s="954"/>
      <c r="J81" s="954"/>
      <c r="K81" s="955"/>
      <c r="L81" s="949">
        <f>入力シート!$CM$74</f>
        <v>0</v>
      </c>
      <c r="M81" s="949"/>
      <c r="N81" s="949"/>
      <c r="O81" s="949">
        <f>入力シート!$CM$75</f>
        <v>0</v>
      </c>
      <c r="P81" s="949"/>
      <c r="Q81" s="949"/>
      <c r="R81" s="949">
        <f>入力シート!$CM$76</f>
        <v>0</v>
      </c>
      <c r="S81" s="949"/>
      <c r="T81" s="949"/>
      <c r="U81" s="949">
        <f>入力シート!$CM$77</f>
        <v>0</v>
      </c>
      <c r="V81" s="949"/>
      <c r="W81" s="974"/>
      <c r="X81" s="328">
        <f t="shared" si="6"/>
        <v>0</v>
      </c>
      <c r="Y81" s="2"/>
      <c r="Z81" s="1016" t="s">
        <v>838</v>
      </c>
      <c r="AA81" s="1017"/>
      <c r="AB81" s="2"/>
      <c r="AC81" s="2"/>
    </row>
    <row r="82" spans="1:30" customFormat="1" ht="25.5" customHeight="1" x14ac:dyDescent="0.2">
      <c r="A82" s="967"/>
      <c r="B82" s="968"/>
      <c r="C82" s="982" t="s">
        <v>31</v>
      </c>
      <c r="D82" s="983"/>
      <c r="E82" s="129"/>
      <c r="F82" s="953">
        <f>入力シート!$CO$73</f>
        <v>0</v>
      </c>
      <c r="G82" s="954"/>
      <c r="H82" s="954"/>
      <c r="I82" s="954"/>
      <c r="J82" s="954"/>
      <c r="K82" s="955"/>
      <c r="L82" s="949">
        <f>入力シート!$CO$74</f>
        <v>0</v>
      </c>
      <c r="M82" s="949"/>
      <c r="N82" s="949"/>
      <c r="O82" s="949">
        <f>入力シート!$CO$75</f>
        <v>0</v>
      </c>
      <c r="P82" s="949"/>
      <c r="Q82" s="949"/>
      <c r="R82" s="949">
        <f>入力シート!$CO$76</f>
        <v>0</v>
      </c>
      <c r="S82" s="949"/>
      <c r="T82" s="949"/>
      <c r="U82" s="949">
        <f>入力シート!$CO$77</f>
        <v>0</v>
      </c>
      <c r="V82" s="949"/>
      <c r="W82" s="974"/>
      <c r="X82" s="328">
        <f t="shared" si="6"/>
        <v>0</v>
      </c>
      <c r="Y82" s="2"/>
      <c r="Z82" s="865">
        <f>SUM(X78:X86)</f>
        <v>0</v>
      </c>
      <c r="AA82" s="866"/>
      <c r="AB82" s="2"/>
      <c r="AC82" s="2"/>
    </row>
    <row r="83" spans="1:30" customFormat="1" ht="25.5" customHeight="1" thickBot="1" x14ac:dyDescent="0.25">
      <c r="A83" s="967"/>
      <c r="B83" s="968"/>
      <c r="C83" s="972" t="s">
        <v>32</v>
      </c>
      <c r="D83" s="973"/>
      <c r="E83" s="15"/>
      <c r="F83" s="953">
        <f>入力シート!$CW$73</f>
        <v>0</v>
      </c>
      <c r="G83" s="954"/>
      <c r="H83" s="954"/>
      <c r="I83" s="954"/>
      <c r="J83" s="954"/>
      <c r="K83" s="955"/>
      <c r="L83" s="956">
        <f>入力シート!$CW$74</f>
        <v>0</v>
      </c>
      <c r="M83" s="956"/>
      <c r="N83" s="956"/>
      <c r="O83" s="956">
        <f>入力シート!$CW$75</f>
        <v>0</v>
      </c>
      <c r="P83" s="956"/>
      <c r="Q83" s="956"/>
      <c r="R83" s="956">
        <f>入力シート!$CW$76</f>
        <v>0</v>
      </c>
      <c r="S83" s="956"/>
      <c r="T83" s="956"/>
      <c r="U83" s="956">
        <f>入力シート!$CW$77</f>
        <v>0</v>
      </c>
      <c r="V83" s="956"/>
      <c r="W83" s="1099"/>
      <c r="X83" s="328">
        <f>SUM(F83:W83)</f>
        <v>0</v>
      </c>
      <c r="Y83" s="2"/>
      <c r="Z83" s="867"/>
      <c r="AA83" s="868"/>
    </row>
    <row r="84" spans="1:30" customFormat="1" ht="26.25" hidden="1" customHeight="1" thickTop="1" x14ac:dyDescent="0.2">
      <c r="A84" s="967"/>
      <c r="B84" s="968"/>
      <c r="C84" s="986" t="s">
        <v>330</v>
      </c>
      <c r="D84" s="987"/>
      <c r="E84" s="129"/>
      <c r="F84" s="1044"/>
      <c r="G84" s="1045"/>
      <c r="H84" s="1033">
        <f>COUNTIF(入力シート!$CX$12:$CX$71,"AT-OP-12")</f>
        <v>0</v>
      </c>
      <c r="I84" s="1033"/>
      <c r="J84" s="1033"/>
      <c r="K84" s="1033"/>
      <c r="L84" s="1033"/>
      <c r="M84" s="1033"/>
      <c r="N84" s="1033">
        <f>COUNTIF(入力シート!$CX$12:$CX$71,"AT-OP-15")</f>
        <v>0</v>
      </c>
      <c r="O84" s="1033"/>
      <c r="P84" s="1033"/>
      <c r="Q84" s="1033">
        <f>COUNTIF(入力シート!$CX$12:$CX$71,"AT-OP-18")</f>
        <v>0</v>
      </c>
      <c r="R84" s="1033"/>
      <c r="S84" s="1033"/>
      <c r="T84" s="1033">
        <f>COUNTIF(入力シート!$CX$12:$CX$71,"AT-OP-19")</f>
        <v>0</v>
      </c>
      <c r="U84" s="1033"/>
      <c r="V84" s="1033"/>
      <c r="W84" s="1033"/>
      <c r="X84" s="1033"/>
      <c r="Y84" s="1033"/>
      <c r="Z84" s="1034"/>
      <c r="AA84" s="187">
        <f>SUM(H84:Z84)</f>
        <v>0</v>
      </c>
      <c r="AB84" s="2"/>
      <c r="AC84" s="2"/>
      <c r="AD84" s="2"/>
    </row>
    <row r="85" spans="1:30" customFormat="1" ht="23.25" hidden="1" customHeight="1" thickBot="1" x14ac:dyDescent="0.25">
      <c r="A85" s="967"/>
      <c r="B85" s="968"/>
      <c r="C85" s="890" t="s">
        <v>331</v>
      </c>
      <c r="D85" s="891"/>
      <c r="E85" s="149"/>
      <c r="F85" s="1049"/>
      <c r="G85" s="1050"/>
      <c r="H85" s="1031">
        <f>COUNTIF(入力シート!$DF$12:$DF$71,"AP-OP-12")</f>
        <v>0</v>
      </c>
      <c r="I85" s="1031"/>
      <c r="J85" s="1031"/>
      <c r="K85" s="1031"/>
      <c r="L85" s="1031"/>
      <c r="M85" s="1031"/>
      <c r="N85" s="1031">
        <f>COUNTIF(入力シート!$DF$12:$DF$71,"AP-OP-15")</f>
        <v>0</v>
      </c>
      <c r="O85" s="1031"/>
      <c r="P85" s="1031"/>
      <c r="Q85" s="1031">
        <f>COUNTIF(入力シート!$DF$12:$DF$71,"AP-OP-18")</f>
        <v>0</v>
      </c>
      <c r="R85" s="1031"/>
      <c r="S85" s="1031"/>
      <c r="T85" s="1031">
        <f>COUNTIF(入力シート!$DF$12:$DF$71,"AP-OP-19")</f>
        <v>0</v>
      </c>
      <c r="U85" s="1031"/>
      <c r="V85" s="1031"/>
      <c r="W85" s="1031"/>
      <c r="X85" s="1031"/>
      <c r="Y85" s="1031"/>
      <c r="Z85" s="1032"/>
      <c r="AA85" s="188">
        <f>SUM(H85:Z85)</f>
        <v>0</v>
      </c>
      <c r="AB85" s="2"/>
      <c r="AC85" s="2"/>
      <c r="AD85" s="2"/>
    </row>
    <row r="86" spans="1:30" customFormat="1" ht="26.25" hidden="1" customHeight="1" thickBot="1" x14ac:dyDescent="0.25">
      <c r="A86" s="969"/>
      <c r="B86" s="970"/>
      <c r="C86" s="1046" t="s">
        <v>675</v>
      </c>
      <c r="D86" s="1047"/>
      <c r="E86" s="1048"/>
      <c r="F86" s="1051">
        <f>入力シート!$BR$73</f>
        <v>0</v>
      </c>
      <c r="G86" s="1051"/>
      <c r="H86" s="1052"/>
      <c r="I86" s="457"/>
      <c r="J86" s="458"/>
      <c r="K86" s="458"/>
      <c r="L86" s="458"/>
      <c r="M86" s="458"/>
      <c r="N86" s="458"/>
      <c r="O86" s="458"/>
      <c r="P86" s="458"/>
      <c r="Q86" s="458"/>
      <c r="R86" s="458"/>
      <c r="S86" s="458"/>
      <c r="T86" s="458"/>
      <c r="U86" s="458"/>
      <c r="V86" s="458"/>
      <c r="W86" s="458"/>
      <c r="X86" s="313">
        <f>SUM(F86)</f>
        <v>0</v>
      </c>
      <c r="Y86" s="2"/>
      <c r="AA86" s="180"/>
      <c r="AB86" s="1"/>
    </row>
    <row r="87" spans="1:30" customFormat="1" ht="20.100000000000001" customHeight="1" thickTop="1" thickBot="1" x14ac:dyDescent="0.25">
      <c r="A87" s="493"/>
      <c r="B87" s="493"/>
      <c r="C87" s="494"/>
      <c r="D87" s="494"/>
      <c r="E87" s="495"/>
      <c r="F87" s="495"/>
      <c r="G87" s="495"/>
      <c r="H87" s="495"/>
      <c r="I87" s="495"/>
      <c r="J87" s="495"/>
      <c r="K87" s="495"/>
      <c r="L87" s="495"/>
      <c r="M87" s="495"/>
      <c r="N87" s="495"/>
      <c r="O87" s="495"/>
      <c r="P87" s="495"/>
      <c r="Q87" s="495"/>
      <c r="R87" s="495"/>
      <c r="S87" s="495"/>
      <c r="T87" s="495"/>
      <c r="U87" s="495"/>
      <c r="V87" s="495"/>
      <c r="W87" s="495"/>
      <c r="X87" s="495"/>
      <c r="Y87" s="1"/>
      <c r="Z87" s="1"/>
      <c r="AA87" s="2"/>
    </row>
    <row r="88" spans="1:30" customFormat="1" ht="20.25" customHeight="1" x14ac:dyDescent="0.2">
      <c r="E88" s="917" t="s">
        <v>48</v>
      </c>
      <c r="F88" s="947" t="s">
        <v>760</v>
      </c>
      <c r="G88" s="947"/>
      <c r="H88" s="947"/>
      <c r="I88" s="947" t="s">
        <v>745</v>
      </c>
      <c r="J88" s="947"/>
      <c r="K88" s="947"/>
      <c r="L88" s="947" t="s">
        <v>752</v>
      </c>
      <c r="M88" s="947"/>
      <c r="N88" s="947"/>
      <c r="O88" s="947" t="s">
        <v>834</v>
      </c>
      <c r="P88" s="947"/>
      <c r="Q88" s="947"/>
      <c r="R88" s="947" t="s">
        <v>767</v>
      </c>
      <c r="S88" s="947"/>
      <c r="T88" s="947"/>
      <c r="U88" s="1023" t="s">
        <v>774</v>
      </c>
      <c r="V88" s="1024"/>
      <c r="W88" s="1024"/>
      <c r="X88" s="1029" t="s">
        <v>29</v>
      </c>
      <c r="Y88" s="2"/>
      <c r="AA88" s="2"/>
      <c r="AB88" s="2"/>
    </row>
    <row r="89" spans="1:30" customFormat="1" ht="20.25" customHeight="1" thickBot="1" x14ac:dyDescent="0.25">
      <c r="E89" s="918"/>
      <c r="F89" s="948" t="s">
        <v>745</v>
      </c>
      <c r="G89" s="948"/>
      <c r="H89" s="948"/>
      <c r="I89" s="948"/>
      <c r="J89" s="948"/>
      <c r="K89" s="948"/>
      <c r="L89" s="950" t="s">
        <v>752</v>
      </c>
      <c r="M89" s="951"/>
      <c r="N89" s="952"/>
      <c r="O89" s="950" t="s">
        <v>834</v>
      </c>
      <c r="P89" s="951"/>
      <c r="Q89" s="952"/>
      <c r="R89" s="950">
        <v>19</v>
      </c>
      <c r="S89" s="951"/>
      <c r="T89" s="951"/>
      <c r="U89" s="951"/>
      <c r="V89" s="951"/>
      <c r="W89" s="951"/>
      <c r="X89" s="1030"/>
      <c r="Y89" s="2"/>
      <c r="AA89" s="2"/>
      <c r="AB89" s="2"/>
    </row>
    <row r="90" spans="1:30" customFormat="1" ht="26.25" customHeight="1" thickTop="1" x14ac:dyDescent="0.2">
      <c r="A90" s="965" t="s">
        <v>54</v>
      </c>
      <c r="B90" s="966"/>
      <c r="C90" s="838" t="s">
        <v>16</v>
      </c>
      <c r="D90" s="971"/>
      <c r="E90" s="21" t="s">
        <v>17</v>
      </c>
      <c r="F90" s="949">
        <f>入力シート!$DJ$72</f>
        <v>0</v>
      </c>
      <c r="G90" s="949"/>
      <c r="H90" s="949"/>
      <c r="I90" s="949">
        <f>入力シート!$DJ$73</f>
        <v>0</v>
      </c>
      <c r="J90" s="949"/>
      <c r="K90" s="949"/>
      <c r="L90" s="949">
        <f>入力シート!$DJ$74</f>
        <v>0</v>
      </c>
      <c r="M90" s="949"/>
      <c r="N90" s="949"/>
      <c r="O90" s="949">
        <f>入力シート!$DJ$75</f>
        <v>0</v>
      </c>
      <c r="P90" s="949"/>
      <c r="Q90" s="949"/>
      <c r="R90" s="949">
        <f>入力シート!$DJ$76</f>
        <v>0</v>
      </c>
      <c r="S90" s="949"/>
      <c r="T90" s="949"/>
      <c r="U90" s="949">
        <f>入力シート!$DJ$77</f>
        <v>0</v>
      </c>
      <c r="V90" s="949"/>
      <c r="W90" s="974"/>
      <c r="X90" s="1027">
        <f>SUM(F90:W91)</f>
        <v>0</v>
      </c>
      <c r="Y90" s="2"/>
      <c r="AC90" s="2"/>
    </row>
    <row r="91" spans="1:30" customFormat="1" ht="26.25" customHeight="1" x14ac:dyDescent="0.2">
      <c r="A91" s="967"/>
      <c r="B91" s="968"/>
      <c r="C91" s="990"/>
      <c r="D91" s="991"/>
      <c r="E91" s="21" t="s">
        <v>18</v>
      </c>
      <c r="F91" s="956">
        <f>入力シート!$DJ$78</f>
        <v>0</v>
      </c>
      <c r="G91" s="956"/>
      <c r="H91" s="956"/>
      <c r="I91" s="956"/>
      <c r="J91" s="956"/>
      <c r="K91" s="956"/>
      <c r="L91" s="953">
        <f>入力シート!$DJ$79</f>
        <v>0</v>
      </c>
      <c r="M91" s="954"/>
      <c r="N91" s="955"/>
      <c r="O91" s="953">
        <f>入力シート!$DJ$80</f>
        <v>0</v>
      </c>
      <c r="P91" s="954"/>
      <c r="Q91" s="955"/>
      <c r="R91" s="956">
        <f>入力シート!$DJ$81</f>
        <v>0</v>
      </c>
      <c r="S91" s="956"/>
      <c r="T91" s="956"/>
      <c r="U91" s="956"/>
      <c r="V91" s="956"/>
      <c r="W91" s="953"/>
      <c r="X91" s="1028"/>
      <c r="Y91" s="2"/>
      <c r="AA91" s="2"/>
      <c r="AB91" s="2"/>
      <c r="AC91" s="2"/>
    </row>
    <row r="92" spans="1:30" customFormat="1" ht="26.25" customHeight="1" x14ac:dyDescent="0.2">
      <c r="A92" s="967"/>
      <c r="B92" s="968"/>
      <c r="C92" s="984" t="s">
        <v>19</v>
      </c>
      <c r="D92" s="985"/>
      <c r="E92" s="21" t="s">
        <v>17</v>
      </c>
      <c r="F92" s="956">
        <f>入力シート!$DL$73</f>
        <v>0</v>
      </c>
      <c r="G92" s="956"/>
      <c r="H92" s="956"/>
      <c r="I92" s="956"/>
      <c r="J92" s="956"/>
      <c r="K92" s="956"/>
      <c r="L92" s="949">
        <f>入力シート!$DL$74</f>
        <v>0</v>
      </c>
      <c r="M92" s="949"/>
      <c r="N92" s="949"/>
      <c r="O92" s="949">
        <f>入力シート!$DL$75</f>
        <v>0</v>
      </c>
      <c r="P92" s="949"/>
      <c r="Q92" s="949"/>
      <c r="R92" s="949">
        <f>入力シート!$DL$76</f>
        <v>0</v>
      </c>
      <c r="S92" s="949"/>
      <c r="T92" s="949"/>
      <c r="U92" s="949">
        <f>入力シート!$DL$77</f>
        <v>0</v>
      </c>
      <c r="V92" s="949"/>
      <c r="W92" s="974"/>
      <c r="X92" s="1025">
        <f t="shared" ref="X92" si="7">SUM(F92:W93)</f>
        <v>0</v>
      </c>
      <c r="Y92" s="2"/>
      <c r="AA92" s="2"/>
      <c r="AB92" s="2"/>
      <c r="AC92" s="2"/>
    </row>
    <row r="93" spans="1:30" customFormat="1" ht="26.25" customHeight="1" x14ac:dyDescent="0.2">
      <c r="A93" s="967"/>
      <c r="B93" s="968"/>
      <c r="C93" s="986"/>
      <c r="D93" s="987"/>
      <c r="E93" s="21" t="s">
        <v>18</v>
      </c>
      <c r="F93" s="956">
        <f>入力シート!$DL$78</f>
        <v>0</v>
      </c>
      <c r="G93" s="956"/>
      <c r="H93" s="956"/>
      <c r="I93" s="956"/>
      <c r="J93" s="956"/>
      <c r="K93" s="956"/>
      <c r="L93" s="953">
        <f>入力シート!$DL$79</f>
        <v>0</v>
      </c>
      <c r="M93" s="954"/>
      <c r="N93" s="955"/>
      <c r="O93" s="953">
        <f>入力シート!$DL$80</f>
        <v>0</v>
      </c>
      <c r="P93" s="954"/>
      <c r="Q93" s="955"/>
      <c r="R93" s="956">
        <f>入力シート!$DL$81</f>
        <v>0</v>
      </c>
      <c r="S93" s="956"/>
      <c r="T93" s="956"/>
      <c r="U93" s="956"/>
      <c r="V93" s="956"/>
      <c r="W93" s="953"/>
      <c r="X93" s="1026"/>
      <c r="Y93" s="2"/>
    </row>
    <row r="94" spans="1:30" customFormat="1" ht="26.25" customHeight="1" x14ac:dyDescent="0.2">
      <c r="A94" s="967"/>
      <c r="B94" s="968"/>
      <c r="C94" s="990" t="s">
        <v>30</v>
      </c>
      <c r="D94" s="991"/>
      <c r="E94" s="21" t="s">
        <v>17</v>
      </c>
      <c r="F94" s="956">
        <f>入力シート!$DN$73</f>
        <v>0</v>
      </c>
      <c r="G94" s="956"/>
      <c r="H94" s="956"/>
      <c r="I94" s="956"/>
      <c r="J94" s="956"/>
      <c r="K94" s="956"/>
      <c r="L94" s="949">
        <f>入力シート!$DN$74</f>
        <v>0</v>
      </c>
      <c r="M94" s="949"/>
      <c r="N94" s="949"/>
      <c r="O94" s="949">
        <f>入力シート!$DN$75</f>
        <v>0</v>
      </c>
      <c r="P94" s="949"/>
      <c r="Q94" s="949"/>
      <c r="R94" s="949">
        <f>入力シート!$DN$76</f>
        <v>0</v>
      </c>
      <c r="S94" s="949"/>
      <c r="T94" s="949"/>
      <c r="U94" s="949">
        <f>入力シート!$DN$77</f>
        <v>0</v>
      </c>
      <c r="V94" s="949"/>
      <c r="W94" s="974"/>
      <c r="X94" s="1025">
        <f t="shared" ref="X94" si="8">SUM(F94:W95)</f>
        <v>0</v>
      </c>
      <c r="Y94" s="2"/>
    </row>
    <row r="95" spans="1:30" customFormat="1" ht="26.25" customHeight="1" thickBot="1" x14ac:dyDescent="0.25">
      <c r="A95" s="967"/>
      <c r="B95" s="968"/>
      <c r="C95" s="986"/>
      <c r="D95" s="987"/>
      <c r="E95" s="21" t="s">
        <v>18</v>
      </c>
      <c r="F95" s="956">
        <f>入力シート!$DN$78</f>
        <v>0</v>
      </c>
      <c r="G95" s="956"/>
      <c r="H95" s="956"/>
      <c r="I95" s="956"/>
      <c r="J95" s="956"/>
      <c r="K95" s="956"/>
      <c r="L95" s="953">
        <f>入力シート!$DN$79</f>
        <v>0</v>
      </c>
      <c r="M95" s="954"/>
      <c r="N95" s="955"/>
      <c r="O95" s="953">
        <f>入力シート!$DN$80</f>
        <v>0</v>
      </c>
      <c r="P95" s="954"/>
      <c r="Q95" s="955"/>
      <c r="R95" s="956">
        <f>入力シート!$DN$81</f>
        <v>0</v>
      </c>
      <c r="S95" s="956"/>
      <c r="T95" s="956"/>
      <c r="U95" s="956"/>
      <c r="V95" s="956"/>
      <c r="W95" s="953"/>
      <c r="X95" s="1026"/>
      <c r="Y95" s="2"/>
    </row>
    <row r="96" spans="1:30" customFormat="1" ht="26.25" customHeight="1" thickTop="1" x14ac:dyDescent="0.2">
      <c r="A96" s="967"/>
      <c r="B96" s="968"/>
      <c r="C96" s="986" t="s">
        <v>20</v>
      </c>
      <c r="D96" s="987"/>
      <c r="E96" s="15"/>
      <c r="F96" s="956">
        <f>入力シート!$DQ$73</f>
        <v>0</v>
      </c>
      <c r="G96" s="956"/>
      <c r="H96" s="956"/>
      <c r="I96" s="956"/>
      <c r="J96" s="956"/>
      <c r="K96" s="956"/>
      <c r="L96" s="949">
        <f>入力シート!$DQ$74</f>
        <v>0</v>
      </c>
      <c r="M96" s="949"/>
      <c r="N96" s="949"/>
      <c r="O96" s="949">
        <f>入力シート!$DQ$75</f>
        <v>0</v>
      </c>
      <c r="P96" s="949"/>
      <c r="Q96" s="949"/>
      <c r="R96" s="949">
        <f>入力シート!$DQ$76</f>
        <v>0</v>
      </c>
      <c r="S96" s="949"/>
      <c r="T96" s="949"/>
      <c r="U96" s="949">
        <f>入力シート!$DQ$77</f>
        <v>0</v>
      </c>
      <c r="V96" s="949"/>
      <c r="W96" s="974"/>
      <c r="X96" s="328">
        <f>SUM(F96:W96)</f>
        <v>0</v>
      </c>
      <c r="Y96" s="2"/>
      <c r="Z96" s="863" t="s">
        <v>60</v>
      </c>
      <c r="AA96" s="864"/>
    </row>
    <row r="97" spans="1:30" customFormat="1" ht="26.25" customHeight="1" x14ac:dyDescent="0.2">
      <c r="A97" s="967"/>
      <c r="B97" s="968"/>
      <c r="C97" s="982" t="s">
        <v>31</v>
      </c>
      <c r="D97" s="983"/>
      <c r="E97" s="15"/>
      <c r="F97" s="956">
        <f>入力シート!$DS$73</f>
        <v>0</v>
      </c>
      <c r="G97" s="956"/>
      <c r="H97" s="956"/>
      <c r="I97" s="956"/>
      <c r="J97" s="956"/>
      <c r="K97" s="956"/>
      <c r="L97" s="956">
        <f>入力シート!$DS$74</f>
        <v>0</v>
      </c>
      <c r="M97" s="956"/>
      <c r="N97" s="956"/>
      <c r="O97" s="956">
        <f>入力シート!$DS$75</f>
        <v>0</v>
      </c>
      <c r="P97" s="956"/>
      <c r="Q97" s="956"/>
      <c r="R97" s="956">
        <f>入力シート!$DS$76</f>
        <v>0</v>
      </c>
      <c r="S97" s="956"/>
      <c r="T97" s="956"/>
      <c r="U97" s="956">
        <f>入力シート!$DS$77</f>
        <v>0</v>
      </c>
      <c r="V97" s="956"/>
      <c r="W97" s="953"/>
      <c r="X97" s="328">
        <f>SUM(F97:W97)</f>
        <v>0</v>
      </c>
      <c r="Y97" s="2"/>
      <c r="Z97" s="865">
        <f>SUM(X90:X98)</f>
        <v>0</v>
      </c>
      <c r="AA97" s="866"/>
    </row>
    <row r="98" spans="1:30" customFormat="1" ht="26.25" customHeight="1" thickBot="1" x14ac:dyDescent="0.25">
      <c r="A98" s="969"/>
      <c r="B98" s="970"/>
      <c r="C98" s="992" t="s">
        <v>32</v>
      </c>
      <c r="D98" s="993"/>
      <c r="E98" s="16"/>
      <c r="F98" s="945">
        <f>入力シート!$EA$73</f>
        <v>0</v>
      </c>
      <c r="G98" s="945"/>
      <c r="H98" s="945"/>
      <c r="I98" s="945"/>
      <c r="J98" s="945"/>
      <c r="K98" s="945"/>
      <c r="L98" s="946">
        <f>入力シート!$EA$74</f>
        <v>0</v>
      </c>
      <c r="M98" s="946"/>
      <c r="N98" s="946"/>
      <c r="O98" s="946">
        <f>入力シート!$EA$75</f>
        <v>0</v>
      </c>
      <c r="P98" s="946"/>
      <c r="Q98" s="946"/>
      <c r="R98" s="946">
        <f>入力シート!$EA$76</f>
        <v>0</v>
      </c>
      <c r="S98" s="946"/>
      <c r="T98" s="946"/>
      <c r="U98" s="946">
        <f>入力シート!$EA$77</f>
        <v>0</v>
      </c>
      <c r="V98" s="946"/>
      <c r="W98" s="1061"/>
      <c r="X98" s="313">
        <f>SUM(F98:W98)</f>
        <v>0</v>
      </c>
      <c r="Y98" s="2"/>
      <c r="Z98" s="867"/>
      <c r="AA98" s="868"/>
    </row>
    <row r="99" spans="1:30" customFormat="1" ht="20.100000000000001" customHeight="1" x14ac:dyDescent="0.2">
      <c r="A99" s="11"/>
      <c r="B99" s="1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2"/>
    </row>
    <row r="100" spans="1:30" customFormat="1" ht="20.25" hidden="1" customHeight="1" thickBot="1" x14ac:dyDescent="0.25">
      <c r="E100" s="917" t="s">
        <v>48</v>
      </c>
      <c r="F100" s="882"/>
      <c r="G100" s="883"/>
      <c r="H100" s="883"/>
      <c r="I100" s="883"/>
      <c r="J100" s="883"/>
      <c r="K100" s="884"/>
      <c r="L100" s="902" t="s">
        <v>731</v>
      </c>
      <c r="M100" s="903"/>
      <c r="N100" s="903"/>
      <c r="O100" s="903"/>
      <c r="P100" s="903"/>
      <c r="Q100" s="904"/>
      <c r="R100" s="902" t="s">
        <v>732</v>
      </c>
      <c r="S100" s="903"/>
      <c r="T100" s="903"/>
      <c r="U100" s="903"/>
      <c r="V100" s="903"/>
      <c r="W100" s="994"/>
      <c r="X100" s="1029" t="s">
        <v>29</v>
      </c>
      <c r="Y100" s="2"/>
      <c r="AA100" s="2"/>
      <c r="AB100" s="2"/>
    </row>
    <row r="101" spans="1:30" customFormat="1" ht="26.25" hidden="1" customHeight="1" thickTop="1" thickBot="1" x14ac:dyDescent="0.25">
      <c r="E101" s="918"/>
      <c r="F101" s="885"/>
      <c r="G101" s="886"/>
      <c r="H101" s="886"/>
      <c r="I101" s="886"/>
      <c r="J101" s="886"/>
      <c r="K101" s="887"/>
      <c r="L101" s="948" t="s">
        <v>483</v>
      </c>
      <c r="M101" s="948"/>
      <c r="N101" s="948"/>
      <c r="O101" s="948"/>
      <c r="P101" s="948"/>
      <c r="Q101" s="948"/>
      <c r="R101" s="950" t="s">
        <v>484</v>
      </c>
      <c r="S101" s="951"/>
      <c r="T101" s="951"/>
      <c r="U101" s="951"/>
      <c r="V101" s="951"/>
      <c r="W101" s="951"/>
      <c r="X101" s="1030"/>
      <c r="Y101" s="2"/>
      <c r="Z101" s="863" t="s">
        <v>686</v>
      </c>
      <c r="AA101" s="864"/>
      <c r="AB101" s="2"/>
    </row>
    <row r="102" spans="1:30" customFormat="1" ht="26.25" hidden="1" customHeight="1" thickTop="1" x14ac:dyDescent="0.2">
      <c r="A102" s="878" t="s">
        <v>683</v>
      </c>
      <c r="B102" s="879"/>
      <c r="C102" s="888" t="s">
        <v>684</v>
      </c>
      <c r="D102" s="889"/>
      <c r="E102" s="15"/>
      <c r="F102" s="1100"/>
      <c r="G102" s="1101"/>
      <c r="H102" s="1101"/>
      <c r="I102" s="1101"/>
      <c r="J102" s="1101"/>
      <c r="K102" s="1102"/>
      <c r="L102" s="1103">
        <f>入力シート!$ED$74</f>
        <v>0</v>
      </c>
      <c r="M102" s="1104"/>
      <c r="N102" s="1104"/>
      <c r="O102" s="1104"/>
      <c r="P102" s="1104"/>
      <c r="Q102" s="1105"/>
      <c r="R102" s="1103">
        <f>入力シート!$ED$76</f>
        <v>0</v>
      </c>
      <c r="S102" s="1104"/>
      <c r="T102" s="1104"/>
      <c r="U102" s="1104"/>
      <c r="V102" s="1104"/>
      <c r="W102" s="1106"/>
      <c r="X102" s="466">
        <f>SUM(L102:W102)</f>
        <v>0</v>
      </c>
      <c r="Y102" s="2"/>
      <c r="Z102" s="865">
        <f>SUM(X102:X103)</f>
        <v>0</v>
      </c>
      <c r="AA102" s="866"/>
      <c r="AC102" s="2"/>
    </row>
    <row r="103" spans="1:30" customFormat="1" ht="26.25" hidden="1" customHeight="1" thickBot="1" x14ac:dyDescent="0.25">
      <c r="A103" s="880"/>
      <c r="B103" s="881"/>
      <c r="C103" s="890" t="s">
        <v>685</v>
      </c>
      <c r="D103" s="891"/>
      <c r="E103" s="16"/>
      <c r="F103" s="899"/>
      <c r="G103" s="900"/>
      <c r="H103" s="900"/>
      <c r="I103" s="900"/>
      <c r="J103" s="900"/>
      <c r="K103" s="901"/>
      <c r="L103" s="1062">
        <f>団体情報・入力の仕方!$R$33</f>
        <v>0</v>
      </c>
      <c r="M103" s="1063"/>
      <c r="N103" s="1063"/>
      <c r="O103" s="1063"/>
      <c r="P103" s="1063"/>
      <c r="Q103" s="1064"/>
      <c r="R103" s="1062">
        <f>団体情報・入力の仕方!$R$34</f>
        <v>0</v>
      </c>
      <c r="S103" s="1063"/>
      <c r="T103" s="1063"/>
      <c r="U103" s="1063"/>
      <c r="V103" s="1063"/>
      <c r="W103" s="1065"/>
      <c r="X103" s="496">
        <f>SUM(L103:W103)</f>
        <v>0</v>
      </c>
      <c r="Y103" s="2"/>
      <c r="Z103" s="867"/>
      <c r="AA103" s="868"/>
      <c r="AB103" s="2"/>
      <c r="AC103" s="2"/>
    </row>
    <row r="104" spans="1:30" customFormat="1" ht="12" customHeight="1" thickBot="1" x14ac:dyDescent="0.25">
      <c r="C104" s="1"/>
      <c r="D104" s="1"/>
      <c r="E104" s="1"/>
    </row>
    <row r="105" spans="1:30" customFormat="1" ht="23.25" customHeight="1" x14ac:dyDescent="0.2">
      <c r="E105" s="1"/>
      <c r="I105" s="909" t="s">
        <v>55</v>
      </c>
      <c r="J105" s="910"/>
      <c r="K105" s="911">
        <f>SUM(Z82,Z97,Z11,Z24,Z55,Z38,Z102)</f>
        <v>0</v>
      </c>
      <c r="L105" s="912"/>
      <c r="N105" s="909" t="s">
        <v>55</v>
      </c>
      <c r="O105" s="910"/>
      <c r="P105" s="916">
        <f>入力シート!$FC$9+マスターズ用入力シート!$EW$9</f>
        <v>0</v>
      </c>
      <c r="Q105" s="912"/>
      <c r="S105" s="905" t="s">
        <v>33</v>
      </c>
      <c r="T105" s="906"/>
      <c r="U105" s="911" t="e" cm="1">
        <f t="array" ref="U105">LOOKUP(1,0/(入力シート!$B$12:$B$71&lt;&gt;""),入力シート!$B$12:$B$71)+LOOKUP(1,0/(マスターズ用入力シート!$B$12:$B$71&lt;&gt;""),マスターズ用入力シート!$B$12:$B$71)</f>
        <v>#N/A</v>
      </c>
      <c r="V105" s="919"/>
      <c r="W105" s="2"/>
      <c r="X105" s="2"/>
      <c r="Z105" s="2"/>
      <c r="AA105" s="2"/>
    </row>
    <row r="106" spans="1:30" customFormat="1" ht="23.25" customHeight="1" thickBot="1" x14ac:dyDescent="0.25">
      <c r="E106" s="1"/>
      <c r="I106" s="915" t="s">
        <v>56</v>
      </c>
      <c r="J106" s="908"/>
      <c r="K106" s="913"/>
      <c r="L106" s="914"/>
      <c r="N106" s="907" t="s">
        <v>57</v>
      </c>
      <c r="O106" s="908"/>
      <c r="P106" s="913"/>
      <c r="Q106" s="914"/>
      <c r="S106" s="907"/>
      <c r="T106" s="908"/>
      <c r="U106" s="920"/>
      <c r="V106" s="921"/>
      <c r="W106" s="2"/>
      <c r="X106" s="2"/>
      <c r="Z106" s="2"/>
      <c r="AA106" s="2"/>
    </row>
    <row r="107" spans="1:30" ht="27" customHeight="1" thickBot="1" x14ac:dyDescent="0.3">
      <c r="C107" s="4"/>
      <c r="D107" s="4"/>
      <c r="E107" s="4"/>
      <c r="H107" s="5"/>
      <c r="I107" s="2"/>
      <c r="J107" s="2"/>
      <c r="M107" s="2"/>
      <c r="N107" s="2"/>
      <c r="O107" s="2"/>
      <c r="P107" s="2"/>
      <c r="Q107" s="2"/>
      <c r="R107" s="3"/>
    </row>
    <row r="108" spans="1:30" ht="27" customHeight="1" thickBot="1" x14ac:dyDescent="0.35">
      <c r="C108" s="1068" t="str">
        <f>"２０２３年度東京都バトン協会バトントワーリングコンテスト"&amp;団体情報・入力の仕方!$C$3</f>
        <v>２０２３年度東京都バトン協会バトントワーリングコンテスト</v>
      </c>
      <c r="D108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E108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F108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G108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H108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I108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J108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K108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L108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M108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N108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O108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P108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Q108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R108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S108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T108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U108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V108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W108" s="1069" t="str">
        <f>"２０２２年度東京都バトン協会バトントワーリングコンテスト"&amp;団体情報・入力の仕方!$C$3</f>
        <v>２０２２年度東京都バトン協会バトントワーリングコンテスト</v>
      </c>
      <c r="X108" s="1070" t="str">
        <f>"２０２２年度東京都バトン協会バトントワーリングコンテスト"&amp;団体情報・入力の仕方!$C$3</f>
        <v>２０２２年度東京都バトン協会バトントワーリングコンテスト</v>
      </c>
      <c r="Z108" s="1042" t="s">
        <v>599</v>
      </c>
      <c r="AA108" s="1043"/>
      <c r="AB108" s="1018">
        <f>団体情報・入力の仕方!$G$4</f>
        <v>0</v>
      </c>
      <c r="AC108" s="1019"/>
      <c r="AD108" s="1020"/>
    </row>
    <row r="109" spans="1:30" ht="16.5" customHeight="1" x14ac:dyDescent="0.35">
      <c r="I109" s="7"/>
      <c r="J109" s="7"/>
      <c r="K109" s="7"/>
      <c r="L109" s="7"/>
      <c r="M109" s="7"/>
      <c r="N109" s="6"/>
      <c r="O109" s="197"/>
      <c r="P109" s="197"/>
      <c r="Q109" s="8"/>
      <c r="R109" s="8"/>
      <c r="S109" s="8"/>
    </row>
    <row r="110" spans="1:30" ht="24" customHeight="1" thickBot="1" x14ac:dyDescent="0.25">
      <c r="A110" s="2"/>
      <c r="B110" s="2"/>
      <c r="C110" s="875" t="s">
        <v>492</v>
      </c>
      <c r="D110" s="875"/>
      <c r="E110" s="1066">
        <f>団体情報・入力の仕方!$C$5</f>
        <v>0</v>
      </c>
      <c r="F110" s="1066"/>
      <c r="G110" s="1066"/>
      <c r="H110" s="1066"/>
      <c r="I110" s="1066"/>
      <c r="J110" s="1066"/>
      <c r="K110" s="1066"/>
      <c r="L110" s="1066"/>
      <c r="M110" s="1066"/>
      <c r="N110" s="1066"/>
      <c r="O110" s="1066"/>
      <c r="P110" s="875" t="s">
        <v>493</v>
      </c>
      <c r="Q110" s="875"/>
      <c r="R110" s="875"/>
      <c r="S110" s="875"/>
      <c r="T110" s="875">
        <f>団体情報・入力の仕方!$L$5</f>
        <v>0</v>
      </c>
      <c r="U110" s="875"/>
      <c r="V110" s="875"/>
      <c r="W110" s="409" t="s">
        <v>494</v>
      </c>
      <c r="X110" s="875">
        <f>団体情報・入力の仕方!$C$4</f>
        <v>0</v>
      </c>
      <c r="Y110" s="875"/>
      <c r="Z110" s="875"/>
    </row>
    <row r="111" spans="1:30" ht="12.75" customHeight="1" x14ac:dyDescent="0.2">
      <c r="A111" s="2"/>
      <c r="B111" s="2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101"/>
      <c r="U111" s="101"/>
      <c r="V111" s="101"/>
      <c r="W111" s="101"/>
      <c r="X111" s="101"/>
      <c r="Y111" s="101"/>
      <c r="Z111" s="101"/>
    </row>
    <row r="112" spans="1:30" ht="24" customHeight="1" thickBot="1" x14ac:dyDescent="0.25">
      <c r="A112" s="2"/>
      <c r="B112" s="2"/>
      <c r="C112" s="875" t="s">
        <v>495</v>
      </c>
      <c r="D112" s="875"/>
      <c r="E112" s="875" t="str">
        <f>"〒　"&amp;団体情報・入力の仕方!$C$6&amp;"　"&amp;団体情報・入力の仕方!$H$6</f>
        <v>〒　　</v>
      </c>
      <c r="F112" s="875"/>
      <c r="G112" s="875"/>
      <c r="H112" s="875"/>
      <c r="I112" s="875"/>
      <c r="J112" s="875"/>
      <c r="K112" s="875"/>
      <c r="L112" s="875"/>
      <c r="M112" s="875"/>
      <c r="N112" s="875"/>
      <c r="O112" s="875"/>
      <c r="P112" s="875"/>
      <c r="Q112" s="875"/>
      <c r="R112" s="875"/>
      <c r="S112" s="875"/>
      <c r="T112" s="875"/>
      <c r="U112" s="875"/>
      <c r="V112" s="875"/>
      <c r="W112" s="875"/>
      <c r="X112" s="875"/>
      <c r="Y112" s="875"/>
      <c r="Z112" s="875"/>
    </row>
    <row r="113" spans="1:31" ht="12.75" customHeight="1" x14ac:dyDescent="0.2">
      <c r="A113" s="2"/>
      <c r="B113" s="2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101"/>
      <c r="U113" s="101"/>
      <c r="V113" s="101"/>
      <c r="W113" s="101"/>
      <c r="X113" s="101"/>
      <c r="Y113" s="101"/>
      <c r="Z113" s="101"/>
    </row>
    <row r="114" spans="1:31" ht="24" customHeight="1" thickBot="1" x14ac:dyDescent="0.25">
      <c r="A114" s="2"/>
      <c r="B114" s="2"/>
      <c r="C114" s="875" t="s">
        <v>496</v>
      </c>
      <c r="D114" s="875"/>
      <c r="E114" s="875">
        <f>団体情報・入力の仕方!$C$7</f>
        <v>0</v>
      </c>
      <c r="F114" s="875"/>
      <c r="G114" s="875"/>
      <c r="H114" s="875"/>
      <c r="I114" s="875"/>
      <c r="J114" s="875"/>
      <c r="K114" s="453"/>
      <c r="L114" s="453"/>
      <c r="M114" s="453"/>
      <c r="N114" s="453"/>
      <c r="O114" s="453"/>
      <c r="P114" s="875" t="s">
        <v>497</v>
      </c>
      <c r="Q114" s="875"/>
      <c r="R114" s="875"/>
      <c r="S114" s="875">
        <f>団体情報・入力の仕方!$J$7</f>
        <v>0</v>
      </c>
      <c r="T114" s="875"/>
      <c r="U114" s="875"/>
      <c r="V114" s="875"/>
      <c r="W114" s="875"/>
      <c r="X114" s="453"/>
      <c r="Y114" s="453"/>
      <c r="Z114" s="453"/>
    </row>
    <row r="115" spans="1:31" ht="10.5" customHeight="1" x14ac:dyDescent="0.2">
      <c r="A115" s="2"/>
      <c r="B115" s="2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101"/>
      <c r="R115" s="101"/>
      <c r="S115" s="101"/>
      <c r="T115" s="101"/>
      <c r="U115" s="101"/>
      <c r="V115" s="101"/>
      <c r="W115" s="101"/>
      <c r="X115" s="101"/>
      <c r="Y115" s="101"/>
      <c r="Z115" s="101"/>
    </row>
    <row r="116" spans="1:31" ht="24" customHeight="1" thickBot="1" x14ac:dyDescent="0.25">
      <c r="A116" s="2"/>
      <c r="B116" s="2"/>
      <c r="C116" s="875" t="s">
        <v>498</v>
      </c>
      <c r="D116" s="875"/>
      <c r="E116" s="875"/>
      <c r="F116" s="875"/>
      <c r="G116" s="875">
        <f>団体情報・入力の仕方!$C$8</f>
        <v>0</v>
      </c>
      <c r="H116" s="875"/>
      <c r="I116" s="875"/>
      <c r="J116" s="875"/>
      <c r="K116" s="875"/>
      <c r="L116" s="875"/>
      <c r="M116" s="875" t="s">
        <v>499</v>
      </c>
      <c r="N116" s="875"/>
      <c r="O116" s="875"/>
      <c r="P116" s="875"/>
      <c r="Q116" s="875"/>
      <c r="R116" s="1067">
        <f>団体情報・入力の仕方!$J$8</f>
        <v>0</v>
      </c>
      <c r="S116" s="1067"/>
      <c r="T116" s="1067"/>
      <c r="U116" s="1067"/>
      <c r="V116" s="1067"/>
      <c r="W116" s="453"/>
      <c r="X116" s="453"/>
      <c r="Y116" s="453"/>
      <c r="Z116" s="453"/>
    </row>
    <row r="117" spans="1:31" ht="10.5" customHeight="1" x14ac:dyDescent="0.2">
      <c r="A117" s="2"/>
      <c r="B117" s="2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101"/>
      <c r="U117" s="101"/>
      <c r="V117" s="101"/>
      <c r="W117" s="101"/>
      <c r="X117" s="101"/>
      <c r="Y117" s="101"/>
      <c r="Z117" s="101"/>
    </row>
    <row r="118" spans="1:31" ht="24" customHeight="1" thickBot="1" x14ac:dyDescent="0.25">
      <c r="A118" s="2"/>
      <c r="B118" s="2"/>
      <c r="C118" s="875" t="s">
        <v>500</v>
      </c>
      <c r="D118" s="875"/>
      <c r="E118" s="875"/>
      <c r="F118" s="875"/>
      <c r="G118" s="1066">
        <f>団体情報・入力の仕方!$C$9</f>
        <v>0</v>
      </c>
      <c r="H118" s="1066"/>
      <c r="I118" s="1066"/>
      <c r="J118" s="1066"/>
      <c r="K118" s="1066"/>
      <c r="L118" s="1066"/>
      <c r="M118" s="1066"/>
      <c r="N118" s="1066"/>
      <c r="O118" s="1066"/>
      <c r="P118" s="1066"/>
      <c r="Q118" s="1066"/>
      <c r="R118" s="1066"/>
      <c r="S118" s="1066"/>
      <c r="T118" s="1066"/>
      <c r="U118" s="1066"/>
      <c r="V118" s="1066"/>
      <c r="W118" s="1066"/>
      <c r="X118" s="1066"/>
      <c r="Y118" s="1066"/>
      <c r="Z118" s="1066"/>
    </row>
    <row r="119" spans="1:31" ht="10.5" customHeight="1" x14ac:dyDescent="0.2">
      <c r="A119" s="2"/>
      <c r="B119" s="2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101"/>
      <c r="U119" s="101"/>
      <c r="V119" s="101"/>
      <c r="W119" s="101"/>
      <c r="X119" s="101"/>
      <c r="Y119" s="101"/>
      <c r="Z119" s="101"/>
    </row>
    <row r="120" spans="1:31" ht="24" customHeight="1" thickBot="1" x14ac:dyDescent="0.25">
      <c r="A120" s="2"/>
      <c r="B120" s="2"/>
      <c r="C120" s="875" t="s">
        <v>501</v>
      </c>
      <c r="D120" s="875"/>
      <c r="E120" s="875"/>
      <c r="F120" s="875"/>
      <c r="G120" s="875"/>
      <c r="H120" s="1066" t="str">
        <f>団体情報・入力の仕方!$E$12&amp;"　　〒　"&amp;団体情報・入力の仕方!$E$13&amp;"　"&amp;団体情報・入力の仕方!$E$14</f>
        <v>　　〒　　</v>
      </c>
      <c r="I120" s="1066"/>
      <c r="J120" s="1066"/>
      <c r="K120" s="1066"/>
      <c r="L120" s="1066"/>
      <c r="M120" s="1066"/>
      <c r="N120" s="1066"/>
      <c r="O120" s="1066"/>
      <c r="P120" s="1066"/>
      <c r="Q120" s="1066"/>
      <c r="R120" s="1066"/>
      <c r="S120" s="1066"/>
      <c r="T120" s="1066"/>
      <c r="U120" s="1066"/>
      <c r="V120" s="1066"/>
      <c r="W120" s="1066"/>
      <c r="X120" s="1066"/>
      <c r="Y120" s="1066"/>
      <c r="Z120" s="1066"/>
    </row>
    <row r="121" spans="1:31" ht="14.25" customHeight="1" thickBot="1" x14ac:dyDescent="0.25"/>
    <row r="122" spans="1:31" ht="24" customHeight="1" thickBot="1" x14ac:dyDescent="0.3">
      <c r="A122" s="10" t="s">
        <v>502</v>
      </c>
      <c r="B122" s="101" t="s">
        <v>503</v>
      </c>
      <c r="C122" s="2"/>
      <c r="D122" s="3"/>
      <c r="E122" s="3"/>
      <c r="F122" s="3"/>
      <c r="G122" s="3"/>
      <c r="H122" s="3"/>
      <c r="I122" s="3"/>
      <c r="J122" s="3"/>
      <c r="K122" s="3"/>
      <c r="L122" s="2"/>
      <c r="M122" s="2"/>
      <c r="N122" s="2"/>
      <c r="O122" s="2"/>
    </row>
    <row r="123" spans="1:31" ht="8.25" customHeight="1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</row>
    <row r="124" spans="1:31" ht="24.9" customHeight="1" x14ac:dyDescent="0.2">
      <c r="A124" s="103" t="s">
        <v>505</v>
      </c>
      <c r="B124" s="102"/>
      <c r="C124" s="2"/>
      <c r="D124" s="2"/>
      <c r="E124" s="2"/>
      <c r="F124" s="2"/>
      <c r="G124" s="2"/>
      <c r="H124" s="2"/>
      <c r="I124" s="103" t="s">
        <v>522</v>
      </c>
      <c r="J124" s="2"/>
      <c r="K124" s="2"/>
      <c r="L124" s="2"/>
      <c r="M124" s="2"/>
      <c r="N124" s="2"/>
      <c r="O124" s="2"/>
      <c r="P124" s="2"/>
      <c r="Q124" s="2"/>
      <c r="R124" s="2"/>
      <c r="S124" s="2"/>
    </row>
    <row r="125" spans="1:31" ht="24.9" customHeight="1" x14ac:dyDescent="0.2">
      <c r="A125" s="325" t="s">
        <v>546</v>
      </c>
      <c r="B125" s="104">
        <f>参照データ!$E$3</f>
        <v>2700</v>
      </c>
      <c r="C125" s="325" t="s">
        <v>506</v>
      </c>
      <c r="D125" s="325">
        <f>$X9+$X31</f>
        <v>0</v>
      </c>
      <c r="E125" s="325" t="s">
        <v>507</v>
      </c>
      <c r="F125" s="870">
        <f>B125*D125</f>
        <v>0</v>
      </c>
      <c r="G125" s="870"/>
      <c r="H125" s="2"/>
      <c r="I125" s="877" t="s">
        <v>453</v>
      </c>
      <c r="J125" s="877"/>
      <c r="K125" s="325" t="s">
        <v>524</v>
      </c>
      <c r="L125" s="104">
        <f>参照データ!$E$8</f>
        <v>2700</v>
      </c>
      <c r="M125" s="325" t="s">
        <v>506</v>
      </c>
      <c r="N125" s="325">
        <f>$X39+$X58</f>
        <v>0</v>
      </c>
      <c r="O125" s="325" t="s">
        <v>507</v>
      </c>
      <c r="P125" s="870">
        <f>L125*N125</f>
        <v>0</v>
      </c>
      <c r="Q125" s="870"/>
      <c r="R125" s="2"/>
      <c r="S125" s="877" t="s">
        <v>145</v>
      </c>
      <c r="T125" s="877"/>
      <c r="U125" s="325" t="s">
        <v>526</v>
      </c>
      <c r="V125" s="104">
        <f>参照データ!$E$9</f>
        <v>2700</v>
      </c>
      <c r="W125" s="325" t="s">
        <v>506</v>
      </c>
      <c r="X125" s="325">
        <f>$X48+$X67</f>
        <v>0</v>
      </c>
      <c r="Y125" s="325" t="s">
        <v>507</v>
      </c>
      <c r="Z125" s="870">
        <f>V125*X125</f>
        <v>0</v>
      </c>
      <c r="AA125" s="870"/>
      <c r="AD125" s="178"/>
    </row>
    <row r="126" spans="1:31" ht="24.9" customHeight="1" x14ac:dyDescent="0.2">
      <c r="A126" s="325" t="s">
        <v>547</v>
      </c>
      <c r="B126" s="104">
        <f>参照データ!$E$3</f>
        <v>2700</v>
      </c>
      <c r="C126" s="99" t="s">
        <v>506</v>
      </c>
      <c r="D126" s="99">
        <f t="shared" ref="D126:D128" si="9">$X10+$X32</f>
        <v>0</v>
      </c>
      <c r="E126" s="99" t="s">
        <v>507</v>
      </c>
      <c r="F126" s="870">
        <f t="shared" ref="F126:F128" si="10">B126*D126</f>
        <v>0</v>
      </c>
      <c r="G126" s="870"/>
      <c r="H126" s="2"/>
      <c r="I126" s="2"/>
      <c r="K126" s="99" t="s">
        <v>526</v>
      </c>
      <c r="L126" s="105">
        <f>参照データ!$E$9</f>
        <v>2700</v>
      </c>
      <c r="M126" s="100" t="s">
        <v>506</v>
      </c>
      <c r="N126" s="99">
        <f t="shared" ref="N126:N133" si="11">$X40+$X59</f>
        <v>0</v>
      </c>
      <c r="O126" s="100" t="s">
        <v>507</v>
      </c>
      <c r="P126" s="870">
        <f t="shared" ref="P126:P133" si="12">L126*N126</f>
        <v>0</v>
      </c>
      <c r="Q126" s="870"/>
      <c r="R126" s="2"/>
      <c r="S126" s="2"/>
      <c r="T126" s="317"/>
      <c r="U126" s="99" t="s">
        <v>528</v>
      </c>
      <c r="V126" s="105">
        <f>参照データ!$E$10</f>
        <v>4000</v>
      </c>
      <c r="W126" s="100" t="s">
        <v>506</v>
      </c>
      <c r="X126" s="325">
        <f t="shared" ref="X126:X133" si="13">$X49+$X68</f>
        <v>0</v>
      </c>
      <c r="Y126" s="100" t="s">
        <v>507</v>
      </c>
      <c r="Z126" s="870">
        <f t="shared" ref="Z126:Z133" si="14">V126*X126</f>
        <v>0</v>
      </c>
      <c r="AA126" s="870"/>
      <c r="AD126" s="178"/>
      <c r="AE126" s="178"/>
    </row>
    <row r="127" spans="1:31" ht="24.9" customHeight="1" x14ac:dyDescent="0.2">
      <c r="A127" s="325" t="s">
        <v>548</v>
      </c>
      <c r="B127" s="104">
        <f>参照データ!$E$3</f>
        <v>2700</v>
      </c>
      <c r="C127" s="99" t="s">
        <v>506</v>
      </c>
      <c r="D127" s="99">
        <f t="shared" si="9"/>
        <v>0</v>
      </c>
      <c r="E127" s="99" t="s">
        <v>507</v>
      </c>
      <c r="F127" s="870">
        <f t="shared" si="10"/>
        <v>0</v>
      </c>
      <c r="G127" s="870"/>
      <c r="H127" s="2"/>
      <c r="I127" s="2"/>
      <c r="K127" s="99" t="s">
        <v>528</v>
      </c>
      <c r="L127" s="105">
        <f>参照データ!$E$10</f>
        <v>4000</v>
      </c>
      <c r="M127" s="99" t="s">
        <v>506</v>
      </c>
      <c r="N127" s="99">
        <f t="shared" si="11"/>
        <v>0</v>
      </c>
      <c r="O127" s="99" t="s">
        <v>507</v>
      </c>
      <c r="P127" s="870">
        <f t="shared" si="12"/>
        <v>0</v>
      </c>
      <c r="Q127" s="870"/>
      <c r="R127" s="2"/>
      <c r="S127" s="106"/>
      <c r="T127" s="325"/>
      <c r="U127" s="99" t="s">
        <v>529</v>
      </c>
      <c r="V127" s="105">
        <f>参照データ!$E$11</f>
        <v>4000</v>
      </c>
      <c r="W127" s="99" t="s">
        <v>506</v>
      </c>
      <c r="X127" s="325">
        <f t="shared" si="13"/>
        <v>0</v>
      </c>
      <c r="Y127" s="99" t="s">
        <v>507</v>
      </c>
      <c r="Z127" s="870">
        <f t="shared" si="14"/>
        <v>0</v>
      </c>
      <c r="AA127" s="870"/>
    </row>
    <row r="128" spans="1:31" ht="24.9" customHeight="1" x14ac:dyDescent="0.2">
      <c r="A128" s="325" t="s">
        <v>549</v>
      </c>
      <c r="B128" s="104">
        <f>参照データ!$E$3</f>
        <v>2700</v>
      </c>
      <c r="C128" s="99" t="s">
        <v>506</v>
      </c>
      <c r="D128" s="99">
        <f t="shared" si="9"/>
        <v>0</v>
      </c>
      <c r="E128" s="99" t="s">
        <v>507</v>
      </c>
      <c r="F128" s="870">
        <f t="shared" si="10"/>
        <v>0</v>
      </c>
      <c r="G128" s="870"/>
      <c r="H128" s="2"/>
      <c r="I128" s="106"/>
      <c r="J128" s="325"/>
      <c r="K128" s="99" t="s">
        <v>529</v>
      </c>
      <c r="L128" s="105">
        <f>参照データ!$E$11</f>
        <v>4000</v>
      </c>
      <c r="M128" s="99" t="s">
        <v>506</v>
      </c>
      <c r="N128" s="99">
        <f t="shared" si="11"/>
        <v>0</v>
      </c>
      <c r="O128" s="99" t="s">
        <v>507</v>
      </c>
      <c r="P128" s="870">
        <f t="shared" si="12"/>
        <v>0</v>
      </c>
      <c r="Q128" s="870"/>
      <c r="R128" s="2"/>
      <c r="S128" s="877" t="s">
        <v>434</v>
      </c>
      <c r="T128" s="877"/>
      <c r="U128" s="99" t="s">
        <v>526</v>
      </c>
      <c r="V128" s="105">
        <f>参照データ!$E$9</f>
        <v>2700</v>
      </c>
      <c r="W128" s="99" t="s">
        <v>506</v>
      </c>
      <c r="X128" s="325">
        <f t="shared" si="13"/>
        <v>0</v>
      </c>
      <c r="Y128" s="99" t="s">
        <v>507</v>
      </c>
      <c r="Z128" s="870">
        <f t="shared" si="14"/>
        <v>0</v>
      </c>
      <c r="AA128" s="870"/>
    </row>
    <row r="129" spans="1:30" ht="24.9" customHeight="1" x14ac:dyDescent="0.2">
      <c r="B129" s="318"/>
      <c r="F129" s="876"/>
      <c r="G129" s="876"/>
      <c r="H129" s="2"/>
      <c r="I129" s="877" t="s">
        <v>454</v>
      </c>
      <c r="J129" s="877"/>
      <c r="K129" s="99" t="s">
        <v>526</v>
      </c>
      <c r="L129" s="105">
        <f>参照データ!$E$9</f>
        <v>2700</v>
      </c>
      <c r="M129" s="99" t="s">
        <v>506</v>
      </c>
      <c r="N129" s="99">
        <f t="shared" si="11"/>
        <v>0</v>
      </c>
      <c r="O129" s="99" t="s">
        <v>507</v>
      </c>
      <c r="P129" s="870">
        <f t="shared" si="12"/>
        <v>0</v>
      </c>
      <c r="Q129" s="870"/>
      <c r="R129" s="2"/>
      <c r="S129" s="2"/>
      <c r="T129" s="317"/>
      <c r="U129" s="99" t="s">
        <v>528</v>
      </c>
      <c r="V129" s="105">
        <f>参照データ!$E$10</f>
        <v>4000</v>
      </c>
      <c r="W129" s="99" t="s">
        <v>506</v>
      </c>
      <c r="X129" s="325">
        <f t="shared" si="13"/>
        <v>0</v>
      </c>
      <c r="Y129" s="99" t="s">
        <v>507</v>
      </c>
      <c r="Z129" s="870">
        <f t="shared" si="14"/>
        <v>0</v>
      </c>
      <c r="AA129" s="870"/>
    </row>
    <row r="130" spans="1:30" ht="24.9" customHeight="1" x14ac:dyDescent="0.2">
      <c r="B130" s="318"/>
      <c r="F130" s="876"/>
      <c r="G130" s="876"/>
      <c r="H130" s="2"/>
      <c r="I130" s="2"/>
      <c r="K130" s="99" t="s">
        <v>528</v>
      </c>
      <c r="L130" s="105">
        <f>参照データ!$E$10</f>
        <v>4000</v>
      </c>
      <c r="M130" s="99" t="s">
        <v>506</v>
      </c>
      <c r="N130" s="99">
        <f t="shared" si="11"/>
        <v>0</v>
      </c>
      <c r="O130" s="99" t="s">
        <v>507</v>
      </c>
      <c r="P130" s="870">
        <f t="shared" si="12"/>
        <v>0</v>
      </c>
      <c r="Q130" s="870"/>
      <c r="R130" s="2"/>
      <c r="S130" s="106"/>
      <c r="T130" s="325"/>
      <c r="U130" s="99" t="s">
        <v>529</v>
      </c>
      <c r="V130" s="105">
        <f>参照データ!$E$11</f>
        <v>4000</v>
      </c>
      <c r="W130" s="99" t="s">
        <v>506</v>
      </c>
      <c r="X130" s="325">
        <f t="shared" si="13"/>
        <v>0</v>
      </c>
      <c r="Y130" s="99" t="s">
        <v>507</v>
      </c>
      <c r="Z130" s="870">
        <f t="shared" si="14"/>
        <v>0</v>
      </c>
      <c r="AA130" s="870"/>
    </row>
    <row r="131" spans="1:30" ht="24.9" customHeight="1" thickBot="1" x14ac:dyDescent="0.25">
      <c r="A131" s="103" t="s">
        <v>522</v>
      </c>
      <c r="B131" s="2"/>
      <c r="C131" s="2"/>
      <c r="D131" s="2"/>
      <c r="E131" s="2"/>
      <c r="F131" s="2"/>
      <c r="G131" s="178"/>
      <c r="H131" s="2"/>
      <c r="I131" s="106"/>
      <c r="J131" s="325"/>
      <c r="K131" s="99" t="s">
        <v>529</v>
      </c>
      <c r="L131" s="105">
        <f>参照データ!$E$11</f>
        <v>4000</v>
      </c>
      <c r="M131" s="99" t="s">
        <v>506</v>
      </c>
      <c r="N131" s="99">
        <f t="shared" si="11"/>
        <v>0</v>
      </c>
      <c r="O131" s="99" t="s">
        <v>507</v>
      </c>
      <c r="P131" s="870">
        <f t="shared" si="12"/>
        <v>0</v>
      </c>
      <c r="Q131" s="870"/>
      <c r="R131" s="2"/>
      <c r="S131" s="877" t="s">
        <v>433</v>
      </c>
      <c r="T131" s="877"/>
      <c r="U131" s="99" t="s">
        <v>526</v>
      </c>
      <c r="V131" s="105">
        <f>参照データ!$J$9*2</f>
        <v>4500</v>
      </c>
      <c r="W131" s="99" t="s">
        <v>506</v>
      </c>
      <c r="X131" s="325">
        <f t="shared" si="13"/>
        <v>0</v>
      </c>
      <c r="Y131" s="99" t="s">
        <v>507</v>
      </c>
      <c r="Z131" s="870">
        <f t="shared" si="14"/>
        <v>0</v>
      </c>
      <c r="AA131" s="870"/>
      <c r="AD131" s="178"/>
    </row>
    <row r="132" spans="1:30" ht="24.9" customHeight="1" thickBot="1" x14ac:dyDescent="0.25">
      <c r="A132" s="325" t="s">
        <v>840</v>
      </c>
      <c r="B132" s="522">
        <f>参照データ!$E$5</f>
        <v>2000</v>
      </c>
      <c r="C132" s="325" t="s">
        <v>506</v>
      </c>
      <c r="D132" s="325">
        <f>F36</f>
        <v>0</v>
      </c>
      <c r="E132" s="325" t="s">
        <v>507</v>
      </c>
      <c r="F132" s="870">
        <f>B132*D132</f>
        <v>0</v>
      </c>
      <c r="G132" s="870"/>
      <c r="H132" s="2"/>
      <c r="I132" s="877" t="s">
        <v>455</v>
      </c>
      <c r="J132" s="877"/>
      <c r="K132" s="99" t="s">
        <v>526</v>
      </c>
      <c r="L132" s="105">
        <f>参照データ!$E$9</f>
        <v>2700</v>
      </c>
      <c r="M132" s="99" t="s">
        <v>506</v>
      </c>
      <c r="N132" s="99">
        <f t="shared" si="11"/>
        <v>0</v>
      </c>
      <c r="O132" s="99" t="s">
        <v>507</v>
      </c>
      <c r="P132" s="870">
        <f t="shared" si="12"/>
        <v>0</v>
      </c>
      <c r="Q132" s="870"/>
      <c r="R132" s="2"/>
      <c r="S132" s="2"/>
      <c r="T132" s="317"/>
      <c r="U132" s="99" t="s">
        <v>528</v>
      </c>
      <c r="V132" s="105">
        <f>参照データ!$J$10*2</f>
        <v>5500</v>
      </c>
      <c r="W132" s="99" t="s">
        <v>506</v>
      </c>
      <c r="X132" s="325">
        <f t="shared" si="13"/>
        <v>0</v>
      </c>
      <c r="Y132" s="99" t="s">
        <v>507</v>
      </c>
      <c r="Z132" s="870">
        <f t="shared" si="14"/>
        <v>0</v>
      </c>
      <c r="AA132" s="870"/>
      <c r="AC132" s="934" t="s">
        <v>533</v>
      </c>
      <c r="AD132" s="935"/>
    </row>
    <row r="133" spans="1:30" ht="24.9" customHeight="1" thickBot="1" x14ac:dyDescent="0.25">
      <c r="B133" s="318"/>
      <c r="F133" s="876"/>
      <c r="G133" s="876"/>
      <c r="H133" s="2"/>
      <c r="I133" s="106"/>
      <c r="J133" s="325"/>
      <c r="K133" s="99" t="s">
        <v>529</v>
      </c>
      <c r="L133" s="105">
        <f>参照データ!$E$11</f>
        <v>4000</v>
      </c>
      <c r="M133" s="99" t="s">
        <v>506</v>
      </c>
      <c r="N133" s="99">
        <f t="shared" si="11"/>
        <v>0</v>
      </c>
      <c r="O133" s="99" t="s">
        <v>507</v>
      </c>
      <c r="P133" s="870">
        <f t="shared" si="12"/>
        <v>0</v>
      </c>
      <c r="Q133" s="870"/>
      <c r="R133" s="2"/>
      <c r="S133" s="106"/>
      <c r="T133" s="325"/>
      <c r="U133" s="99" t="s">
        <v>529</v>
      </c>
      <c r="V133" s="105">
        <f>参照データ!$J$11*2</f>
        <v>5500</v>
      </c>
      <c r="W133" s="99" t="s">
        <v>506</v>
      </c>
      <c r="X133" s="325">
        <f t="shared" si="13"/>
        <v>0</v>
      </c>
      <c r="Y133" s="99" t="s">
        <v>507</v>
      </c>
      <c r="Z133" s="870">
        <f t="shared" si="14"/>
        <v>0</v>
      </c>
      <c r="AA133" s="870"/>
      <c r="AC133" s="936">
        <f>SUM(F125:G130,P125:Q133,Z125:AA133,F133)</f>
        <v>0</v>
      </c>
      <c r="AD133" s="937"/>
    </row>
    <row r="134" spans="1:30" ht="24.9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Q134" s="2"/>
      <c r="R134" s="2"/>
      <c r="S134" s="2"/>
    </row>
    <row r="135" spans="1:30" ht="24.9" customHeight="1" x14ac:dyDescent="0.2">
      <c r="A135" s="103" t="str">
        <f>Sheet1!A14</f>
        <v>オープン６種目選手権</v>
      </c>
      <c r="B135" s="2"/>
      <c r="C135" s="2"/>
      <c r="D135" s="2"/>
      <c r="E135" s="2"/>
      <c r="F135" s="2"/>
      <c r="G135" s="2"/>
      <c r="H135" s="2"/>
      <c r="I135" s="103" t="s">
        <v>683</v>
      </c>
      <c r="J135" s="2"/>
      <c r="K135" s="2"/>
      <c r="L135" s="2"/>
      <c r="M135" s="2"/>
      <c r="N135" s="2"/>
      <c r="O135" s="2"/>
      <c r="P135" s="2"/>
      <c r="Q135" s="2"/>
      <c r="R135" s="2"/>
      <c r="T135" s="102"/>
    </row>
    <row r="136" spans="1:30" ht="24.9" customHeight="1" x14ac:dyDescent="0.2">
      <c r="A136" s="325" t="s">
        <v>453</v>
      </c>
      <c r="B136" s="104">
        <f>参照データ!$E$12</f>
        <v>4500</v>
      </c>
      <c r="C136" s="325" t="s">
        <v>506</v>
      </c>
      <c r="D136" s="325">
        <f>IF(団体情報・入力の仕方!$C$3="大田区大会",'エントリー別人数表＆参加費申込書（予備復元用）'!X90,'エントリー別人数表＆参加費申込書（予備復元用）'!X78)</f>
        <v>0</v>
      </c>
      <c r="E136" s="325" t="s">
        <v>507</v>
      </c>
      <c r="F136" s="870">
        <f t="shared" ref="F136:F141" si="15">B136*D136</f>
        <v>0</v>
      </c>
      <c r="G136" s="870"/>
      <c r="H136" s="2"/>
      <c r="I136" s="869" t="s">
        <v>702</v>
      </c>
      <c r="J136" s="869"/>
      <c r="K136" s="487">
        <f>参照データ!$H$3</f>
        <v>5000</v>
      </c>
      <c r="L136" s="325" t="s">
        <v>506</v>
      </c>
      <c r="M136" s="325">
        <f>$X$102</f>
        <v>0</v>
      </c>
      <c r="N136" s="325" t="s">
        <v>704</v>
      </c>
      <c r="O136" s="870">
        <f>K136*M136</f>
        <v>0</v>
      </c>
      <c r="P136" s="870"/>
      <c r="Q136" s="2"/>
      <c r="R136" s="2"/>
      <c r="T136" s="102"/>
    </row>
    <row r="137" spans="1:30" ht="24.9" customHeight="1" x14ac:dyDescent="0.2">
      <c r="A137" s="99" t="s">
        <v>454</v>
      </c>
      <c r="B137" s="104">
        <f>参照データ!$E$12</f>
        <v>4500</v>
      </c>
      <c r="C137" s="100" t="s">
        <v>506</v>
      </c>
      <c r="D137" s="325">
        <f>IF(団体情報・入力の仕方!$C$3="大田区大会",'エントリー別人数表＆参加費申込書（予備復元用）'!X92,'エントリー別人数表＆参加費申込書（予備復元用）'!X79)</f>
        <v>0</v>
      </c>
      <c r="E137" s="100" t="s">
        <v>507</v>
      </c>
      <c r="F137" s="870">
        <f t="shared" si="15"/>
        <v>0</v>
      </c>
      <c r="G137" s="870"/>
      <c r="H137" s="2"/>
      <c r="I137" s="1086" t="s">
        <v>703</v>
      </c>
      <c r="J137" s="1086"/>
      <c r="K137" s="488"/>
      <c r="L137" s="99"/>
      <c r="M137" s="99"/>
      <c r="N137" s="99" t="s">
        <v>507</v>
      </c>
      <c r="O137" s="944">
        <f>団体情報・入力の仕方!$P$38*500</f>
        <v>0</v>
      </c>
      <c r="P137" s="944"/>
      <c r="Q137" s="2"/>
      <c r="R137" s="2"/>
      <c r="T137" s="102"/>
    </row>
    <row r="138" spans="1:30" ht="24.9" customHeight="1" x14ac:dyDescent="0.2">
      <c r="A138" s="99" t="s">
        <v>455</v>
      </c>
      <c r="B138" s="104">
        <f>参照データ!$E$12</f>
        <v>4500</v>
      </c>
      <c r="C138" s="99" t="s">
        <v>506</v>
      </c>
      <c r="D138" s="325">
        <f>IF(団体情報・入力の仕方!$C$3="大田区大会",'エントリー別人数表＆参加費申込書（予備復元用）'!X94,'エントリー別人数表＆参加費申込書（予備復元用）'!X80)</f>
        <v>0</v>
      </c>
      <c r="E138" s="99" t="s">
        <v>507</v>
      </c>
      <c r="F138" s="870">
        <f t="shared" si="15"/>
        <v>0</v>
      </c>
      <c r="G138" s="870"/>
      <c r="H138" s="2"/>
      <c r="L138" s="318"/>
      <c r="P138" s="178"/>
      <c r="Q138" s="2"/>
      <c r="R138" s="2"/>
      <c r="T138" s="102"/>
    </row>
    <row r="139" spans="1:30" ht="24.9" customHeight="1" thickBot="1" x14ac:dyDescent="0.25">
      <c r="A139" s="325" t="s">
        <v>145</v>
      </c>
      <c r="B139" s="104">
        <f>参照データ!$E$12</f>
        <v>4500</v>
      </c>
      <c r="C139" s="99" t="s">
        <v>506</v>
      </c>
      <c r="D139" s="325">
        <f>IF(団体情報・入力の仕方!$C$3="大田区大会",'エントリー別人数表＆参加費申込書（予備復元用）'!X96,'エントリー別人数表＆参加費申込書（予備復元用）'!X81)</f>
        <v>0</v>
      </c>
      <c r="E139" s="99" t="s">
        <v>507</v>
      </c>
      <c r="F139" s="870">
        <f t="shared" si="15"/>
        <v>0</v>
      </c>
      <c r="G139" s="870"/>
      <c r="H139" s="2"/>
      <c r="L139" s="318"/>
      <c r="P139" s="178"/>
      <c r="Q139" s="2"/>
      <c r="R139" s="2"/>
      <c r="T139" s="102"/>
    </row>
    <row r="140" spans="1:30" ht="24.9" customHeight="1" thickBot="1" x14ac:dyDescent="0.25">
      <c r="A140" s="99" t="s">
        <v>543</v>
      </c>
      <c r="B140" s="104">
        <f>参照データ!$E$12</f>
        <v>4500</v>
      </c>
      <c r="C140" s="99" t="s">
        <v>506</v>
      </c>
      <c r="D140" s="325">
        <f>IF(団体情報・入力の仕方!$C$3="大田区大会",'エントリー別人数表＆参加費申込書（予備復元用）'!X97,'エントリー別人数表＆参加費申込書（予備復元用）'!X82)</f>
        <v>0</v>
      </c>
      <c r="E140" s="99" t="s">
        <v>507</v>
      </c>
      <c r="F140" s="870">
        <f t="shared" si="15"/>
        <v>0</v>
      </c>
      <c r="G140" s="870"/>
      <c r="H140" s="2"/>
      <c r="L140" s="318"/>
      <c r="P140" s="178"/>
      <c r="Q140" s="2"/>
      <c r="R140" s="2"/>
      <c r="T140" s="102"/>
      <c r="AA140" s="178"/>
      <c r="AC140" s="934" t="s">
        <v>520</v>
      </c>
      <c r="AD140" s="935"/>
    </row>
    <row r="141" spans="1:30" ht="24.9" customHeight="1" thickBot="1" x14ac:dyDescent="0.25">
      <c r="A141" s="99" t="s">
        <v>433</v>
      </c>
      <c r="B141" s="105">
        <f>(参照データ!$J$12)*2</f>
        <v>6000</v>
      </c>
      <c r="C141" s="99" t="s">
        <v>506</v>
      </c>
      <c r="D141" s="325">
        <f>IF(団体情報・入力の仕方!$C$3="大田区大会",'エントリー別人数表＆参加費申込書（予備復元用）'!X98,'エントリー別人数表＆参加費申込書（予備復元用）'!X83)</f>
        <v>0</v>
      </c>
      <c r="E141" s="99" t="s">
        <v>507</v>
      </c>
      <c r="F141" s="870">
        <f t="shared" si="15"/>
        <v>0</v>
      </c>
      <c r="G141" s="870"/>
      <c r="H141" s="2"/>
      <c r="L141" s="318"/>
      <c r="P141" s="178"/>
      <c r="Q141" s="178"/>
      <c r="R141" s="2"/>
      <c r="S141" s="2"/>
      <c r="U141" s="317"/>
      <c r="V141" s="318"/>
      <c r="W141" s="317"/>
      <c r="X141" s="317"/>
      <c r="Y141" s="317"/>
      <c r="Z141" s="178"/>
      <c r="AA141" s="178"/>
      <c r="AC141" s="936">
        <f>SUM(F136:G141,O136:P137,)</f>
        <v>0</v>
      </c>
      <c r="AD141" s="937"/>
    </row>
    <row r="142" spans="1:30" ht="24.9" customHeight="1" thickBot="1" x14ac:dyDescent="0.25">
      <c r="A142" s="2"/>
      <c r="B142" s="2"/>
      <c r="C142" s="2"/>
      <c r="D142" s="2"/>
      <c r="E142" s="2"/>
      <c r="F142" s="2"/>
      <c r="G142" s="179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AA142" s="178"/>
    </row>
    <row r="143" spans="1:30" ht="24.9" customHeight="1" thickBot="1" x14ac:dyDescent="0.25">
      <c r="B143" s="318"/>
      <c r="F143" s="876"/>
      <c r="G143" s="876"/>
      <c r="H143" s="2"/>
      <c r="I143" s="2"/>
      <c r="L143" s="318"/>
      <c r="P143" s="876"/>
      <c r="Q143" s="876"/>
      <c r="R143" s="2"/>
      <c r="S143" s="1053" t="s">
        <v>730</v>
      </c>
      <c r="T143" s="1054"/>
      <c r="U143" s="1054"/>
      <c r="V143" s="1054"/>
      <c r="W143" s="1054"/>
      <c r="X143" s="1054"/>
      <c r="Y143" s="1108"/>
      <c r="Z143" s="1109"/>
      <c r="AA143" s="1110"/>
      <c r="AB143" s="1057">
        <f>Z143*3000</f>
        <v>0</v>
      </c>
      <c r="AC143" s="1058"/>
      <c r="AD143" s="1059"/>
    </row>
    <row r="144" spans="1:30" ht="24.9" customHeight="1" thickBo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</row>
    <row r="145" spans="1:30" ht="33" customHeight="1" thickTop="1" thickBot="1" x14ac:dyDescent="0.25">
      <c r="A145" s="2"/>
      <c r="B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523" t="s">
        <v>536</v>
      </c>
      <c r="R145" s="523"/>
      <c r="S145" s="523"/>
      <c r="T145" s="523"/>
      <c r="U145" s="523"/>
      <c r="V145" s="523"/>
      <c r="X145" s="941" t="s">
        <v>677</v>
      </c>
      <c r="Y145" s="942"/>
      <c r="Z145" s="942"/>
      <c r="AA145" s="943"/>
      <c r="AB145" s="938">
        <f>SUM($AC$141+$AC$133+AB143)</f>
        <v>0</v>
      </c>
      <c r="AC145" s="939"/>
      <c r="AD145" s="940"/>
    </row>
    <row r="146" spans="1:30" ht="24.9" customHeight="1" thickTop="1" x14ac:dyDescent="0.2">
      <c r="A146" s="2"/>
      <c r="B146" s="2"/>
      <c r="C146" s="178"/>
      <c r="D146" s="178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X146" s="1107" t="str">
        <f>IF(団体情報・入力の仕方!$C$3="港区大会","【参加費振込期間：7月20日(水)～29日(金)】","")</f>
        <v/>
      </c>
      <c r="Y146" s="1107"/>
      <c r="Z146" s="1107"/>
      <c r="AA146" s="1107"/>
      <c r="AB146" s="1107"/>
      <c r="AC146" s="1107"/>
      <c r="AD146" s="1107"/>
    </row>
    <row r="147" spans="1:30" ht="24.9" customHeight="1" x14ac:dyDescent="0.2">
      <c r="A147" s="2"/>
      <c r="B147" s="2"/>
      <c r="C147" s="2"/>
      <c r="D147" s="2"/>
      <c r="E147" s="2"/>
      <c r="O147" s="2"/>
      <c r="P147" s="2"/>
      <c r="Q147" s="2"/>
      <c r="R147" s="2"/>
      <c r="S147" s="2"/>
    </row>
    <row r="148" spans="1:30" ht="24.9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</row>
    <row r="149" spans="1:30" ht="24.9" customHeight="1" x14ac:dyDescent="0.2">
      <c r="A149" s="2"/>
      <c r="B149" s="2"/>
      <c r="C149" s="178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</row>
    <row r="150" spans="1:30" ht="24.9" hidden="1" customHeight="1" x14ac:dyDescent="0.2">
      <c r="A150" s="869" t="s">
        <v>671</v>
      </c>
      <c r="B150" s="869"/>
      <c r="C150" s="869"/>
      <c r="D150" s="104">
        <f>参照データ!$E$4</f>
        <v>0</v>
      </c>
      <c r="E150" s="325" t="s">
        <v>506</v>
      </c>
      <c r="F150" s="325">
        <f>$X$86</f>
        <v>0</v>
      </c>
      <c r="G150" s="325" t="s">
        <v>507</v>
      </c>
      <c r="H150" s="870">
        <f>D150*F150</f>
        <v>0</v>
      </c>
      <c r="I150" s="870"/>
      <c r="J150" s="2"/>
      <c r="K150" s="2"/>
      <c r="L150" s="2"/>
      <c r="M150" s="2"/>
      <c r="N150" s="2"/>
      <c r="O150" s="2"/>
      <c r="P150" s="2"/>
      <c r="Q150" s="2"/>
      <c r="R150" s="2"/>
      <c r="S150" s="2"/>
    </row>
    <row r="151" spans="1:30" ht="24.9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</row>
    <row r="152" spans="1:30" ht="24.9" customHeight="1" x14ac:dyDescent="0.2">
      <c r="A152" s="2"/>
      <c r="B152" s="320"/>
      <c r="C152" s="320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</row>
    <row r="153" spans="1:30" ht="24.9" customHeight="1" x14ac:dyDescent="0.2">
      <c r="A153" s="2"/>
      <c r="B153" s="320"/>
      <c r="C153" s="320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</row>
    <row r="154" spans="1:30" ht="24.9" customHeight="1" x14ac:dyDescent="0.2">
      <c r="A154" s="2"/>
      <c r="B154" s="320"/>
      <c r="C154" s="320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</row>
    <row r="155" spans="1:30" ht="24.9" customHeight="1" x14ac:dyDescent="0.2">
      <c r="A155" s="2"/>
      <c r="B155" s="320"/>
      <c r="C155" s="320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</row>
    <row r="156" spans="1:30" ht="24.9" customHeight="1" x14ac:dyDescent="0.2">
      <c r="A156" s="2"/>
      <c r="B156" s="320"/>
      <c r="C156" s="320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</row>
    <row r="157" spans="1:30" ht="24.9" customHeight="1" x14ac:dyDescent="0.2">
      <c r="A157" s="2"/>
      <c r="B157" s="320"/>
      <c r="C157" s="320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</row>
    <row r="158" spans="1:30" ht="24.9" customHeight="1" x14ac:dyDescent="0.2">
      <c r="A158" s="2"/>
      <c r="B158" s="320"/>
      <c r="C158" s="320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</row>
    <row r="159" spans="1:30" ht="24.9" customHeight="1" x14ac:dyDescent="0.2">
      <c r="A159" s="2"/>
      <c r="B159" s="320"/>
      <c r="C159" s="320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</row>
    <row r="160" spans="1:30" ht="24.9" customHeight="1" x14ac:dyDescent="0.2">
      <c r="A160" s="2"/>
      <c r="B160" s="320"/>
      <c r="C160" s="320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</row>
    <row r="161" spans="1:32" ht="24.9" customHeight="1" x14ac:dyDescent="0.2">
      <c r="A161" s="2"/>
      <c r="B161" s="320"/>
      <c r="C161" s="320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</row>
    <row r="162" spans="1:32" ht="39.75" customHeight="1" x14ac:dyDescent="0.2">
      <c r="A162" s="320"/>
      <c r="B162" s="320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</row>
    <row r="163" spans="1:32" ht="24.9" customHeight="1" x14ac:dyDescent="0.2">
      <c r="A163" s="2"/>
      <c r="B163" s="320"/>
      <c r="C163" s="320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</row>
    <row r="164" spans="1:32" ht="24.9" customHeight="1" x14ac:dyDescent="0.2">
      <c r="A164" s="2"/>
      <c r="B164" s="320"/>
      <c r="C164" s="320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</row>
    <row r="165" spans="1:32" ht="24.9" customHeight="1" x14ac:dyDescent="0.2">
      <c r="A165" s="2"/>
      <c r="B165" s="320"/>
      <c r="C165" s="320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</row>
    <row r="166" spans="1:32" ht="24.9" customHeight="1" x14ac:dyDescent="0.2">
      <c r="A166" s="2"/>
      <c r="B166" s="320"/>
      <c r="C166" s="320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</row>
    <row r="167" spans="1:32" ht="24.9" customHeight="1" x14ac:dyDescent="0.2">
      <c r="A167" s="2"/>
      <c r="B167" s="320"/>
      <c r="C167" s="320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</row>
    <row r="168" spans="1:32" ht="24.9" customHeight="1" x14ac:dyDescent="0.2">
      <c r="A168" s="2"/>
      <c r="B168" s="320"/>
      <c r="C168" s="320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</row>
    <row r="169" spans="1:32" ht="24.9" customHeight="1" x14ac:dyDescent="0.2">
      <c r="A169" s="2"/>
      <c r="B169" s="320"/>
      <c r="C169" s="320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</row>
    <row r="170" spans="1:32" ht="24.9" customHeight="1" x14ac:dyDescent="0.2">
      <c r="A170" s="2"/>
      <c r="B170" s="320"/>
      <c r="C170" s="320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</row>
    <row r="171" spans="1:32" ht="24.9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N171" s="318"/>
      <c r="R171" s="319"/>
      <c r="S171" s="319"/>
      <c r="V171" s="317"/>
      <c r="W171" s="317"/>
      <c r="X171" s="318"/>
      <c r="Y171" s="317"/>
      <c r="Z171" s="317"/>
      <c r="AA171" s="317"/>
      <c r="AB171" s="319"/>
      <c r="AC171" s="319"/>
      <c r="AE171" s="320"/>
      <c r="AF171" s="320"/>
    </row>
    <row r="172" spans="1:32" ht="24.9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N172" s="318"/>
      <c r="R172" s="319"/>
      <c r="S172" s="319"/>
      <c r="V172" s="317"/>
      <c r="W172" s="317"/>
      <c r="X172" s="318"/>
      <c r="Y172" s="317"/>
      <c r="Z172" s="317"/>
      <c r="AA172" s="317"/>
      <c r="AB172" s="319"/>
      <c r="AC172" s="319"/>
      <c r="AE172" s="320"/>
      <c r="AF172" s="320"/>
    </row>
    <row r="173" spans="1:32" ht="24.9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N173" s="318"/>
      <c r="R173" s="319"/>
      <c r="S173" s="319"/>
      <c r="V173" s="317"/>
      <c r="W173" s="317"/>
      <c r="X173" s="318"/>
      <c r="Y173" s="317"/>
      <c r="Z173" s="317"/>
      <c r="AA173" s="317"/>
      <c r="AB173" s="319"/>
      <c r="AC173" s="319"/>
      <c r="AE173" s="320"/>
      <c r="AF173" s="320"/>
    </row>
    <row r="174" spans="1:32" ht="24.9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S174" s="2"/>
    </row>
    <row r="175" spans="1:32" ht="33" customHeight="1" x14ac:dyDescent="0.2">
      <c r="A175" s="2"/>
      <c r="B175" s="2"/>
      <c r="C175" s="2"/>
      <c r="D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</row>
    <row r="176" spans="1:32" ht="24.9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P176" s="2"/>
      <c r="Q176" s="2"/>
      <c r="R176" s="2"/>
      <c r="S176" s="2"/>
    </row>
    <row r="177" spans="1:20" ht="24.9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P177" s="2"/>
      <c r="Q177" s="2"/>
      <c r="R177" s="2"/>
      <c r="S177" s="2"/>
    </row>
    <row r="178" spans="1:20" x14ac:dyDescent="0.2">
      <c r="T178" s="317"/>
    </row>
    <row r="179" spans="1:20" x14ac:dyDescent="0.2">
      <c r="T179" s="317"/>
    </row>
    <row r="180" spans="1:20" x14ac:dyDescent="0.2">
      <c r="M180" s="2"/>
    </row>
  </sheetData>
  <sheetProtection selectLockedCells="1"/>
  <mergeCells count="630">
    <mergeCell ref="X146:AD146"/>
    <mergeCell ref="A150:C150"/>
    <mergeCell ref="H150:I150"/>
    <mergeCell ref="F143:G143"/>
    <mergeCell ref="P143:Q143"/>
    <mergeCell ref="S143:Y143"/>
    <mergeCell ref="Z143:AA143"/>
    <mergeCell ref="AB143:AD143"/>
    <mergeCell ref="X145:AA145"/>
    <mergeCell ref="AB145:AD145"/>
    <mergeCell ref="F138:G138"/>
    <mergeCell ref="F139:G139"/>
    <mergeCell ref="F140:G140"/>
    <mergeCell ref="AC140:AD140"/>
    <mergeCell ref="F141:G141"/>
    <mergeCell ref="AC141:AD141"/>
    <mergeCell ref="F136:G136"/>
    <mergeCell ref="I136:J136"/>
    <mergeCell ref="O136:P136"/>
    <mergeCell ref="F137:G137"/>
    <mergeCell ref="I137:J137"/>
    <mergeCell ref="O137:P137"/>
    <mergeCell ref="F132:G132"/>
    <mergeCell ref="I132:J132"/>
    <mergeCell ref="P132:Q132"/>
    <mergeCell ref="Z132:AA132"/>
    <mergeCell ref="AC132:AD132"/>
    <mergeCell ref="F133:G133"/>
    <mergeCell ref="P133:Q133"/>
    <mergeCell ref="Z133:AA133"/>
    <mergeCell ref="AC133:AD133"/>
    <mergeCell ref="F130:G130"/>
    <mergeCell ref="P130:Q130"/>
    <mergeCell ref="Z130:AA130"/>
    <mergeCell ref="P131:Q131"/>
    <mergeCell ref="S131:T131"/>
    <mergeCell ref="Z131:AA131"/>
    <mergeCell ref="F128:G128"/>
    <mergeCell ref="P128:Q128"/>
    <mergeCell ref="S128:T128"/>
    <mergeCell ref="Z128:AA128"/>
    <mergeCell ref="F129:G129"/>
    <mergeCell ref="I129:J129"/>
    <mergeCell ref="P129:Q129"/>
    <mergeCell ref="Z129:AA129"/>
    <mergeCell ref="F127:G127"/>
    <mergeCell ref="P127:Q127"/>
    <mergeCell ref="Z127:AA127"/>
    <mergeCell ref="C120:G120"/>
    <mergeCell ref="H120:Z120"/>
    <mergeCell ref="F125:G125"/>
    <mergeCell ref="I125:J125"/>
    <mergeCell ref="P125:Q125"/>
    <mergeCell ref="S125:T125"/>
    <mergeCell ref="Z125:AA125"/>
    <mergeCell ref="C118:F118"/>
    <mergeCell ref="G118:Z118"/>
    <mergeCell ref="C112:D112"/>
    <mergeCell ref="E112:Z112"/>
    <mergeCell ref="C114:D114"/>
    <mergeCell ref="E114:J114"/>
    <mergeCell ref="P114:R114"/>
    <mergeCell ref="S114:W114"/>
    <mergeCell ref="F126:G126"/>
    <mergeCell ref="P126:Q126"/>
    <mergeCell ref="Z126:AA126"/>
    <mergeCell ref="Z108:AA108"/>
    <mergeCell ref="AB108:AD108"/>
    <mergeCell ref="C110:D110"/>
    <mergeCell ref="E110:O110"/>
    <mergeCell ref="P110:S110"/>
    <mergeCell ref="T110:V110"/>
    <mergeCell ref="X110:Z110"/>
    <mergeCell ref="C116:F116"/>
    <mergeCell ref="G116:L116"/>
    <mergeCell ref="M116:Q116"/>
    <mergeCell ref="R116:V116"/>
    <mergeCell ref="I105:J105"/>
    <mergeCell ref="K105:L106"/>
    <mergeCell ref="N105:O105"/>
    <mergeCell ref="P105:Q106"/>
    <mergeCell ref="S105:T106"/>
    <mergeCell ref="U105:V106"/>
    <mergeCell ref="I106:J106"/>
    <mergeCell ref="N106:O106"/>
    <mergeCell ref="C108:X108"/>
    <mergeCell ref="E100:E101"/>
    <mergeCell ref="F100:K101"/>
    <mergeCell ref="L100:Q100"/>
    <mergeCell ref="R100:W100"/>
    <mergeCell ref="X100:X101"/>
    <mergeCell ref="L101:Q101"/>
    <mergeCell ref="R101:W101"/>
    <mergeCell ref="Z101:AA101"/>
    <mergeCell ref="A102:B103"/>
    <mergeCell ref="C102:D102"/>
    <mergeCell ref="F102:K102"/>
    <mergeCell ref="L102:Q102"/>
    <mergeCell ref="R102:W102"/>
    <mergeCell ref="Z102:AA103"/>
    <mergeCell ref="C103:D103"/>
    <mergeCell ref="F103:K103"/>
    <mergeCell ref="L103:Q103"/>
    <mergeCell ref="R103:W103"/>
    <mergeCell ref="Z96:AA96"/>
    <mergeCell ref="C97:D97"/>
    <mergeCell ref="F97:K97"/>
    <mergeCell ref="L97:N97"/>
    <mergeCell ref="O97:Q97"/>
    <mergeCell ref="R97:T97"/>
    <mergeCell ref="U97:W97"/>
    <mergeCell ref="Z97:AA98"/>
    <mergeCell ref="C98:D98"/>
    <mergeCell ref="F98:K98"/>
    <mergeCell ref="L98:N98"/>
    <mergeCell ref="O98:Q98"/>
    <mergeCell ref="R98:T98"/>
    <mergeCell ref="U98:W98"/>
    <mergeCell ref="X94:X95"/>
    <mergeCell ref="F95:K95"/>
    <mergeCell ref="L95:N95"/>
    <mergeCell ref="O95:Q95"/>
    <mergeCell ref="R95:W95"/>
    <mergeCell ref="C96:D96"/>
    <mergeCell ref="F96:K96"/>
    <mergeCell ref="L96:N96"/>
    <mergeCell ref="O96:Q96"/>
    <mergeCell ref="R96:T96"/>
    <mergeCell ref="C94:D95"/>
    <mergeCell ref="F94:K94"/>
    <mergeCell ref="L94:N94"/>
    <mergeCell ref="O94:Q94"/>
    <mergeCell ref="R94:T94"/>
    <mergeCell ref="U94:W94"/>
    <mergeCell ref="U96:W96"/>
    <mergeCell ref="R92:T92"/>
    <mergeCell ref="U92:W92"/>
    <mergeCell ref="X92:X93"/>
    <mergeCell ref="F93:K93"/>
    <mergeCell ref="L93:N93"/>
    <mergeCell ref="O93:Q93"/>
    <mergeCell ref="R93:W93"/>
    <mergeCell ref="R90:T90"/>
    <mergeCell ref="U90:W90"/>
    <mergeCell ref="X90:X91"/>
    <mergeCell ref="F91:K91"/>
    <mergeCell ref="L91:N91"/>
    <mergeCell ref="O91:Q91"/>
    <mergeCell ref="R91:W91"/>
    <mergeCell ref="A90:B98"/>
    <mergeCell ref="C90:D91"/>
    <mergeCell ref="F90:H90"/>
    <mergeCell ref="I90:K90"/>
    <mergeCell ref="L90:N90"/>
    <mergeCell ref="O90:Q90"/>
    <mergeCell ref="C92:D93"/>
    <mergeCell ref="F92:K92"/>
    <mergeCell ref="L92:N92"/>
    <mergeCell ref="O92:Q92"/>
    <mergeCell ref="O88:Q88"/>
    <mergeCell ref="R88:T88"/>
    <mergeCell ref="U88:W88"/>
    <mergeCell ref="X88:X89"/>
    <mergeCell ref="F89:K89"/>
    <mergeCell ref="L89:N89"/>
    <mergeCell ref="O89:Q89"/>
    <mergeCell ref="R89:W89"/>
    <mergeCell ref="C86:E86"/>
    <mergeCell ref="F86:H86"/>
    <mergeCell ref="E88:E89"/>
    <mergeCell ref="F88:H88"/>
    <mergeCell ref="I88:K88"/>
    <mergeCell ref="L88:N88"/>
    <mergeCell ref="C83:D83"/>
    <mergeCell ref="F83:K83"/>
    <mergeCell ref="L83:N83"/>
    <mergeCell ref="O83:Q83"/>
    <mergeCell ref="R83:T83"/>
    <mergeCell ref="U83:W83"/>
    <mergeCell ref="C81:D81"/>
    <mergeCell ref="F81:K81"/>
    <mergeCell ref="L81:N81"/>
    <mergeCell ref="O81:Q81"/>
    <mergeCell ref="R81:T81"/>
    <mergeCell ref="U81:W81"/>
    <mergeCell ref="A78:B86"/>
    <mergeCell ref="C78:D78"/>
    <mergeCell ref="F78:H78"/>
    <mergeCell ref="I78:K78"/>
    <mergeCell ref="L78:N78"/>
    <mergeCell ref="O78:Q78"/>
    <mergeCell ref="C80:D80"/>
    <mergeCell ref="F80:K80"/>
    <mergeCell ref="L80:N80"/>
    <mergeCell ref="O80:Q80"/>
    <mergeCell ref="C85:D85"/>
    <mergeCell ref="F85:G85"/>
    <mergeCell ref="H85:M85"/>
    <mergeCell ref="N85:P85"/>
    <mergeCell ref="Q85:S85"/>
    <mergeCell ref="R80:T80"/>
    <mergeCell ref="C82:D82"/>
    <mergeCell ref="F82:K82"/>
    <mergeCell ref="L82:N82"/>
    <mergeCell ref="O82:Q82"/>
    <mergeCell ref="R82:T82"/>
    <mergeCell ref="T85:Z85"/>
    <mergeCell ref="C84:D84"/>
    <mergeCell ref="F84:G84"/>
    <mergeCell ref="H84:M84"/>
    <mergeCell ref="N84:P84"/>
    <mergeCell ref="Q84:S84"/>
    <mergeCell ref="T84:Z84"/>
    <mergeCell ref="U80:W80"/>
    <mergeCell ref="F77:H77"/>
    <mergeCell ref="I77:K77"/>
    <mergeCell ref="L77:N77"/>
    <mergeCell ref="O77:Q77"/>
    <mergeCell ref="R77:T77"/>
    <mergeCell ref="U77:W77"/>
    <mergeCell ref="R78:T78"/>
    <mergeCell ref="U78:W78"/>
    <mergeCell ref="Z82:AA83"/>
    <mergeCell ref="C79:D79"/>
    <mergeCell ref="F79:K79"/>
    <mergeCell ref="L79:N79"/>
    <mergeCell ref="O79:Q79"/>
    <mergeCell ref="R79:T79"/>
    <mergeCell ref="U79:W79"/>
    <mergeCell ref="Z81:AA81"/>
    <mergeCell ref="U82:W82"/>
    <mergeCell ref="C73:D75"/>
    <mergeCell ref="F73:H73"/>
    <mergeCell ref="I73:K73"/>
    <mergeCell ref="L73:N73"/>
    <mergeCell ref="O73:Q73"/>
    <mergeCell ref="R73:T73"/>
    <mergeCell ref="U73:W73"/>
    <mergeCell ref="F74:H74"/>
    <mergeCell ref="U75:W75"/>
    <mergeCell ref="I74:K74"/>
    <mergeCell ref="L74:N74"/>
    <mergeCell ref="O74:Q74"/>
    <mergeCell ref="R74:T74"/>
    <mergeCell ref="U74:W74"/>
    <mergeCell ref="F75:H75"/>
    <mergeCell ref="I75:K75"/>
    <mergeCell ref="L75:N75"/>
    <mergeCell ref="O75:Q75"/>
    <mergeCell ref="R75:T75"/>
    <mergeCell ref="U70:W70"/>
    <mergeCell ref="F71:H71"/>
    <mergeCell ref="I71:K71"/>
    <mergeCell ref="L71:N71"/>
    <mergeCell ref="O71:Q71"/>
    <mergeCell ref="R71:T71"/>
    <mergeCell ref="U71:W71"/>
    <mergeCell ref="U72:W72"/>
    <mergeCell ref="C70:D72"/>
    <mergeCell ref="F70:H70"/>
    <mergeCell ref="I70:K70"/>
    <mergeCell ref="L70:N70"/>
    <mergeCell ref="O70:Q70"/>
    <mergeCell ref="R70:T70"/>
    <mergeCell ref="F72:H72"/>
    <mergeCell ref="I72:K72"/>
    <mergeCell ref="L72:N72"/>
    <mergeCell ref="O72:Q72"/>
    <mergeCell ref="R72:T72"/>
    <mergeCell ref="R69:T69"/>
    <mergeCell ref="U69:W69"/>
    <mergeCell ref="R67:T67"/>
    <mergeCell ref="U67:W67"/>
    <mergeCell ref="F68:H68"/>
    <mergeCell ref="I68:K68"/>
    <mergeCell ref="L68:N68"/>
    <mergeCell ref="O68:Q68"/>
    <mergeCell ref="R68:T68"/>
    <mergeCell ref="U68:W68"/>
    <mergeCell ref="C67:D69"/>
    <mergeCell ref="F67:H67"/>
    <mergeCell ref="I67:K67"/>
    <mergeCell ref="L67:N67"/>
    <mergeCell ref="O67:Q67"/>
    <mergeCell ref="F69:H69"/>
    <mergeCell ref="I69:K69"/>
    <mergeCell ref="L69:N69"/>
    <mergeCell ref="O69:Q69"/>
    <mergeCell ref="C65:D66"/>
    <mergeCell ref="F65:H65"/>
    <mergeCell ref="I65:K65"/>
    <mergeCell ref="L65:N65"/>
    <mergeCell ref="O65:Q65"/>
    <mergeCell ref="R65:T65"/>
    <mergeCell ref="U65:W65"/>
    <mergeCell ref="F66:H66"/>
    <mergeCell ref="I66:K66"/>
    <mergeCell ref="L66:N66"/>
    <mergeCell ref="O66:Q66"/>
    <mergeCell ref="R66:T66"/>
    <mergeCell ref="U66:W66"/>
    <mergeCell ref="U62:W62"/>
    <mergeCell ref="F63:H63"/>
    <mergeCell ref="I63:K63"/>
    <mergeCell ref="L63:N63"/>
    <mergeCell ref="O63:Q63"/>
    <mergeCell ref="R63:T63"/>
    <mergeCell ref="U63:W63"/>
    <mergeCell ref="C62:D64"/>
    <mergeCell ref="F62:H62"/>
    <mergeCell ref="I62:K62"/>
    <mergeCell ref="L62:N62"/>
    <mergeCell ref="O62:Q62"/>
    <mergeCell ref="R62:T62"/>
    <mergeCell ref="F64:H64"/>
    <mergeCell ref="I64:K64"/>
    <mergeCell ref="L64:N64"/>
    <mergeCell ref="O64:Q64"/>
    <mergeCell ref="R64:T64"/>
    <mergeCell ref="U64:W64"/>
    <mergeCell ref="L61:N61"/>
    <mergeCell ref="O61:Q61"/>
    <mergeCell ref="R61:T61"/>
    <mergeCell ref="U61:W61"/>
    <mergeCell ref="F60:H60"/>
    <mergeCell ref="I60:K60"/>
    <mergeCell ref="L60:N60"/>
    <mergeCell ref="O60:Q60"/>
    <mergeCell ref="R60:T60"/>
    <mergeCell ref="U60:W60"/>
    <mergeCell ref="Z54:AA54"/>
    <mergeCell ref="F55:H55"/>
    <mergeCell ref="I55:K55"/>
    <mergeCell ref="L55:N55"/>
    <mergeCell ref="O55:Q55"/>
    <mergeCell ref="R55:T55"/>
    <mergeCell ref="U55:W55"/>
    <mergeCell ref="Z55:AA56"/>
    <mergeCell ref="F56:H56"/>
    <mergeCell ref="I56:K56"/>
    <mergeCell ref="O56:Q56"/>
    <mergeCell ref="R56:T56"/>
    <mergeCell ref="U56:W56"/>
    <mergeCell ref="C54:D56"/>
    <mergeCell ref="F54:H54"/>
    <mergeCell ref="I54:K54"/>
    <mergeCell ref="L54:N54"/>
    <mergeCell ref="O54:Q54"/>
    <mergeCell ref="R54:T54"/>
    <mergeCell ref="U54:W54"/>
    <mergeCell ref="L56:N56"/>
    <mergeCell ref="A58:B75"/>
    <mergeCell ref="C58:D61"/>
    <mergeCell ref="F58:H58"/>
    <mergeCell ref="I58:K58"/>
    <mergeCell ref="L58:N58"/>
    <mergeCell ref="O58:Q58"/>
    <mergeCell ref="R58:T58"/>
    <mergeCell ref="U58:W58"/>
    <mergeCell ref="F59:H59"/>
    <mergeCell ref="I59:K59"/>
    <mergeCell ref="L59:N59"/>
    <mergeCell ref="O59:Q59"/>
    <mergeCell ref="R59:T59"/>
    <mergeCell ref="U59:W59"/>
    <mergeCell ref="F61:H61"/>
    <mergeCell ref="I61:K61"/>
    <mergeCell ref="U51:W51"/>
    <mergeCell ref="F52:H52"/>
    <mergeCell ref="I52:K52"/>
    <mergeCell ref="L52:N52"/>
    <mergeCell ref="O52:Q52"/>
    <mergeCell ref="R52:T52"/>
    <mergeCell ref="U52:W52"/>
    <mergeCell ref="C51:D53"/>
    <mergeCell ref="F51:H51"/>
    <mergeCell ref="I51:K51"/>
    <mergeCell ref="L51:N51"/>
    <mergeCell ref="O51:Q51"/>
    <mergeCell ref="R51:T51"/>
    <mergeCell ref="F53:H53"/>
    <mergeCell ref="I53:K53"/>
    <mergeCell ref="L53:N53"/>
    <mergeCell ref="O53:Q53"/>
    <mergeCell ref="R53:T53"/>
    <mergeCell ref="U53:W53"/>
    <mergeCell ref="R50:T50"/>
    <mergeCell ref="U50:W50"/>
    <mergeCell ref="R48:T48"/>
    <mergeCell ref="U48:W48"/>
    <mergeCell ref="F49:H49"/>
    <mergeCell ref="I49:K49"/>
    <mergeCell ref="L49:N49"/>
    <mergeCell ref="O49:Q49"/>
    <mergeCell ref="R49:T49"/>
    <mergeCell ref="U49:W49"/>
    <mergeCell ref="C48:D50"/>
    <mergeCell ref="F48:H48"/>
    <mergeCell ref="I48:K48"/>
    <mergeCell ref="L48:N48"/>
    <mergeCell ref="O48:Q48"/>
    <mergeCell ref="F50:H50"/>
    <mergeCell ref="I50:K50"/>
    <mergeCell ref="L50:N50"/>
    <mergeCell ref="O50:Q50"/>
    <mergeCell ref="C46:D47"/>
    <mergeCell ref="F46:H46"/>
    <mergeCell ref="I46:K46"/>
    <mergeCell ref="L46:N46"/>
    <mergeCell ref="O46:Q46"/>
    <mergeCell ref="R46:T46"/>
    <mergeCell ref="U46:W46"/>
    <mergeCell ref="F47:H47"/>
    <mergeCell ref="I47:K47"/>
    <mergeCell ref="L47:N47"/>
    <mergeCell ref="O47:Q47"/>
    <mergeCell ref="R47:T47"/>
    <mergeCell ref="U47:W47"/>
    <mergeCell ref="U43:W43"/>
    <mergeCell ref="F44:H44"/>
    <mergeCell ref="I44:K44"/>
    <mergeCell ref="L44:N44"/>
    <mergeCell ref="O44:Q44"/>
    <mergeCell ref="R44:T44"/>
    <mergeCell ref="U44:W44"/>
    <mergeCell ref="C43:D45"/>
    <mergeCell ref="F43:H43"/>
    <mergeCell ref="I43:K43"/>
    <mergeCell ref="L43:N43"/>
    <mergeCell ref="O43:Q43"/>
    <mergeCell ref="R43:T43"/>
    <mergeCell ref="F45:H45"/>
    <mergeCell ref="I45:K45"/>
    <mergeCell ref="L45:N45"/>
    <mergeCell ref="O45:Q45"/>
    <mergeCell ref="R45:T45"/>
    <mergeCell ref="U45:W45"/>
    <mergeCell ref="F42:H42"/>
    <mergeCell ref="I42:K42"/>
    <mergeCell ref="L42:N42"/>
    <mergeCell ref="O42:Q42"/>
    <mergeCell ref="R42:T42"/>
    <mergeCell ref="U42:W42"/>
    <mergeCell ref="F41:H41"/>
    <mergeCell ref="I41:K41"/>
    <mergeCell ref="L41:N41"/>
    <mergeCell ref="O41:Q41"/>
    <mergeCell ref="R41:T41"/>
    <mergeCell ref="U41:W41"/>
    <mergeCell ref="Z36:AA36"/>
    <mergeCell ref="Z37:AA38"/>
    <mergeCell ref="A39:B56"/>
    <mergeCell ref="C39:D42"/>
    <mergeCell ref="F39:H39"/>
    <mergeCell ref="I39:K39"/>
    <mergeCell ref="L39:N39"/>
    <mergeCell ref="O39:Q39"/>
    <mergeCell ref="F34:H34"/>
    <mergeCell ref="I34:K34"/>
    <mergeCell ref="L34:N34"/>
    <mergeCell ref="O34:Q34"/>
    <mergeCell ref="R34:T34"/>
    <mergeCell ref="U34:W34"/>
    <mergeCell ref="R39:T39"/>
    <mergeCell ref="U39:W39"/>
    <mergeCell ref="F40:H40"/>
    <mergeCell ref="I40:K40"/>
    <mergeCell ref="L40:N40"/>
    <mergeCell ref="O40:Q40"/>
    <mergeCell ref="R40:T40"/>
    <mergeCell ref="U40:W40"/>
    <mergeCell ref="A36:E36"/>
    <mergeCell ref="F36:H36"/>
    <mergeCell ref="R33:T33"/>
    <mergeCell ref="U33:W33"/>
    <mergeCell ref="R31:T31"/>
    <mergeCell ref="U31:W31"/>
    <mergeCell ref="F32:H32"/>
    <mergeCell ref="I32:K32"/>
    <mergeCell ref="L32:N32"/>
    <mergeCell ref="O32:Q32"/>
    <mergeCell ref="R32:T32"/>
    <mergeCell ref="U32:W32"/>
    <mergeCell ref="A31:B34"/>
    <mergeCell ref="C31:D34"/>
    <mergeCell ref="F31:H31"/>
    <mergeCell ref="I31:K31"/>
    <mergeCell ref="L31:N31"/>
    <mergeCell ref="O31:Q31"/>
    <mergeCell ref="F33:H33"/>
    <mergeCell ref="I33:K33"/>
    <mergeCell ref="L33:N33"/>
    <mergeCell ref="O33:Q33"/>
    <mergeCell ref="X28:X30"/>
    <mergeCell ref="F29:H29"/>
    <mergeCell ref="U29:W29"/>
    <mergeCell ref="F30:H30"/>
    <mergeCell ref="I30:K30"/>
    <mergeCell ref="L30:N30"/>
    <mergeCell ref="O30:Q30"/>
    <mergeCell ref="R30:T30"/>
    <mergeCell ref="U30:W30"/>
    <mergeCell ref="R26:T26"/>
    <mergeCell ref="U26:W26"/>
    <mergeCell ref="C25:D26"/>
    <mergeCell ref="F25:H25"/>
    <mergeCell ref="I25:K25"/>
    <mergeCell ref="L25:N25"/>
    <mergeCell ref="O25:Q25"/>
    <mergeCell ref="R25:T25"/>
    <mergeCell ref="F28:H28"/>
    <mergeCell ref="I28:N28"/>
    <mergeCell ref="O28:Q28"/>
    <mergeCell ref="R28:T28"/>
    <mergeCell ref="U28:W28"/>
    <mergeCell ref="Z23:AA23"/>
    <mergeCell ref="F24:H24"/>
    <mergeCell ref="I24:K24"/>
    <mergeCell ref="L24:N24"/>
    <mergeCell ref="O24:Q24"/>
    <mergeCell ref="R24:T24"/>
    <mergeCell ref="U24:W24"/>
    <mergeCell ref="Z24:AA25"/>
    <mergeCell ref="U25:W25"/>
    <mergeCell ref="R21:T21"/>
    <mergeCell ref="U21:W21"/>
    <mergeCell ref="F22:H22"/>
    <mergeCell ref="I22:K22"/>
    <mergeCell ref="L22:N22"/>
    <mergeCell ref="O22:Q22"/>
    <mergeCell ref="R22:T22"/>
    <mergeCell ref="U22:W22"/>
    <mergeCell ref="A21:B26"/>
    <mergeCell ref="C21:D24"/>
    <mergeCell ref="F21:H21"/>
    <mergeCell ref="I21:K21"/>
    <mergeCell ref="L21:N21"/>
    <mergeCell ref="O21:Q21"/>
    <mergeCell ref="F23:H23"/>
    <mergeCell ref="I23:K23"/>
    <mergeCell ref="L23:N23"/>
    <mergeCell ref="O23:Q23"/>
    <mergeCell ref="R23:T23"/>
    <mergeCell ref="U23:W23"/>
    <mergeCell ref="F26:H26"/>
    <mergeCell ref="I26:K26"/>
    <mergeCell ref="L26:N26"/>
    <mergeCell ref="O26:Q26"/>
    <mergeCell ref="F20:H20"/>
    <mergeCell ref="I20:K20"/>
    <mergeCell ref="L20:N20"/>
    <mergeCell ref="O20:Q20"/>
    <mergeCell ref="R20:T20"/>
    <mergeCell ref="U20:W20"/>
    <mergeCell ref="W16:X16"/>
    <mergeCell ref="Y16:AA16"/>
    <mergeCell ref="F18:H18"/>
    <mergeCell ref="I18:N18"/>
    <mergeCell ref="O18:Q18"/>
    <mergeCell ref="R18:T18"/>
    <mergeCell ref="U18:W18"/>
    <mergeCell ref="X18:X20"/>
    <mergeCell ref="F19:H19"/>
    <mergeCell ref="U19:W19"/>
    <mergeCell ref="C13:D14"/>
    <mergeCell ref="F13:H13"/>
    <mergeCell ref="I13:K13"/>
    <mergeCell ref="L13:N13"/>
    <mergeCell ref="O13:Q13"/>
    <mergeCell ref="R13:T13"/>
    <mergeCell ref="Z10:AA10"/>
    <mergeCell ref="F11:H11"/>
    <mergeCell ref="I11:K11"/>
    <mergeCell ref="L11:N11"/>
    <mergeCell ref="O11:Q11"/>
    <mergeCell ref="R11:T11"/>
    <mergeCell ref="U11:W11"/>
    <mergeCell ref="Z11:AA12"/>
    <mergeCell ref="F12:H12"/>
    <mergeCell ref="I12:K12"/>
    <mergeCell ref="U13:W13"/>
    <mergeCell ref="F14:H14"/>
    <mergeCell ref="I14:K14"/>
    <mergeCell ref="L14:N14"/>
    <mergeCell ref="O14:Q14"/>
    <mergeCell ref="R14:T14"/>
    <mergeCell ref="U14:W14"/>
    <mergeCell ref="L12:N12"/>
    <mergeCell ref="A9:B12"/>
    <mergeCell ref="C9:D12"/>
    <mergeCell ref="F9:H9"/>
    <mergeCell ref="I9:K9"/>
    <mergeCell ref="L9:N9"/>
    <mergeCell ref="O9:Q9"/>
    <mergeCell ref="R9:T9"/>
    <mergeCell ref="U9:W9"/>
    <mergeCell ref="F10:H10"/>
    <mergeCell ref="I10:K10"/>
    <mergeCell ref="L10:N10"/>
    <mergeCell ref="O10:Q10"/>
    <mergeCell ref="R10:T10"/>
    <mergeCell ref="U10:W10"/>
    <mergeCell ref="O12:Q12"/>
    <mergeCell ref="R12:T12"/>
    <mergeCell ref="U12:W12"/>
    <mergeCell ref="F6:H6"/>
    <mergeCell ref="I6:N6"/>
    <mergeCell ref="O6:Q6"/>
    <mergeCell ref="R6:T6"/>
    <mergeCell ref="U6:W6"/>
    <mergeCell ref="X6:X8"/>
    <mergeCell ref="F7:H7"/>
    <mergeCell ref="U7:W7"/>
    <mergeCell ref="F8:H8"/>
    <mergeCell ref="I8:K8"/>
    <mergeCell ref="L8:N8"/>
    <mergeCell ref="O8:Q8"/>
    <mergeCell ref="R8:T8"/>
    <mergeCell ref="U8:W8"/>
    <mergeCell ref="I1:R1"/>
    <mergeCell ref="W1:X1"/>
    <mergeCell ref="Y1:AA1"/>
    <mergeCell ref="W3:X3"/>
    <mergeCell ref="Y3:AA3"/>
    <mergeCell ref="C4:D4"/>
    <mergeCell ref="E4:M4"/>
    <mergeCell ref="O4:P4"/>
    <mergeCell ref="Q4:T4"/>
    <mergeCell ref="V4:X4"/>
    <mergeCell ref="Y4:AA4"/>
  </mergeCells>
  <phoneticPr fontId="52"/>
  <printOptions horizontalCentered="1"/>
  <pageMargins left="0.28000000000000003" right="0.13" top="0.43" bottom="0.11811023622047245" header="0.42" footer="0.15748031496062992"/>
  <pageSetup paperSize="9" scale="69" fitToHeight="0" orientation="landscape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B7187818-C7DF-40EC-83F2-0254288007C7}">
            <xm:f>OR(団体情報・入力の仕方!$C$3="小平市大会",団体情報・入力の仕方!$C$3="品川区大会")</xm:f>
            <x14:dxf>
              <fill>
                <patternFill>
                  <bgColor theme="0" tint="-0.499984740745262"/>
                </patternFill>
              </fill>
            </x14:dxf>
          </x14:cfRule>
          <xm:sqref>A131:G132</xm:sqref>
        </x14:conditionalFormatting>
        <x14:conditionalFormatting xmlns:xm="http://schemas.microsoft.com/office/excel/2006/main">
          <x14:cfRule type="expression" priority="11" id="{3A3581ED-E75F-4E1D-BC9C-0C1C4ACE7F39}">
            <xm:f>団体情報・入力の仕方!$C$3&lt;&gt;"港区大会"</xm:f>
            <x14:dxf>
              <fill>
                <patternFill>
                  <bgColor theme="0" tint="-0.499984740745262"/>
                </patternFill>
              </fill>
            </x14:dxf>
          </x14:cfRule>
          <xm:sqref>A100:L100 R100 X100:XFD100 A101:XFD103</xm:sqref>
        </x14:conditionalFormatting>
        <x14:conditionalFormatting xmlns:xm="http://schemas.microsoft.com/office/excel/2006/main">
          <x14:cfRule type="expression" priority="2" id="{2190A1E7-F2C8-42A4-AB54-40468E505A5D}">
            <xm:f>AND(団体情報・入力の仕方!$C$3&lt;&gt;"港区大会",団体情報・入力の仕方!$C$3&lt;&gt;"大田区大会")</xm:f>
            <x14:dxf>
              <fill>
                <patternFill>
                  <bgColor theme="0" tint="-0.499984740745262"/>
                </patternFill>
              </fill>
            </x14:dxf>
          </x14:cfRule>
          <xm:sqref>A28:XFD34</xm:sqref>
        </x14:conditionalFormatting>
        <x14:conditionalFormatting xmlns:xm="http://schemas.microsoft.com/office/excel/2006/main">
          <x14:cfRule type="expression" priority="1" id="{C9417FBA-8F7D-44B0-8A93-623ADB8F5C01}">
            <xm:f>AND(団体情報・入力の仕方!$C$3&lt;&gt;"港区大会",団体情報・入力の仕方!$C$3&lt;&gt;"大田区大会",団体情報・入力の仕方!$C$3&lt;&gt;"世田谷区大会")</xm:f>
            <x14:dxf>
              <fill>
                <patternFill>
                  <bgColor theme="0" tint="-0.499984740745262"/>
                </patternFill>
              </fill>
            </x14:dxf>
          </x14:cfRule>
          <xm:sqref>A28:XFD38</xm:sqref>
        </x14:conditionalFormatting>
        <x14:conditionalFormatting xmlns:xm="http://schemas.microsoft.com/office/excel/2006/main">
          <x14:cfRule type="expression" priority="14" id="{EDF2E040-CA57-4E8D-9207-E08BDAD01F7B}">
            <xm:f>(団体情報・入力の仕方!$C$3="小平市大会")</xm:f>
            <x14:dxf>
              <fill>
                <patternFill>
                  <bgColor theme="0" tint="-0.499984740745262"/>
                </patternFill>
              </fill>
            </x14:dxf>
          </x14:cfRule>
          <xm:sqref>A39:XFD56</xm:sqref>
        </x14:conditionalFormatting>
        <x14:conditionalFormatting xmlns:xm="http://schemas.microsoft.com/office/excel/2006/main">
          <x14:cfRule type="expression" priority="4" id="{CC515F12-CED6-43A3-BA32-71B7E69EA23E}">
            <xm:f>AND(団体情報・入力の仕方!$C$3&lt;&gt;"港区大会",団体情報・入力の仕方!$C$3&lt;&gt;"大田区大会")</xm:f>
            <x14:dxf>
              <fill>
                <patternFill>
                  <bgColor theme="0" tint="-0.499984740745262"/>
                </patternFill>
              </fill>
            </x14:dxf>
          </x14:cfRule>
          <xm:sqref>A58:XFD75</xm:sqref>
        </x14:conditionalFormatting>
        <x14:conditionalFormatting xmlns:xm="http://schemas.microsoft.com/office/excel/2006/main">
          <x14:cfRule type="expression" priority="13" id="{03332E3A-A5D9-4F2E-B3F1-152F56D31FFF}">
            <xm:f>AND(団体情報・入力の仕方!$C$3&lt;&gt;"世田谷区大会",団体情報・入力の仕方!$C$3&lt;&gt;"港区大会")</xm:f>
            <x14:dxf>
              <fill>
                <patternFill>
                  <bgColor theme="0" tint="-0.499984740745262"/>
                </patternFill>
              </fill>
            </x14:dxf>
          </x14:cfRule>
          <xm:sqref>A77:XFD83</xm:sqref>
        </x14:conditionalFormatting>
        <x14:conditionalFormatting xmlns:xm="http://schemas.microsoft.com/office/excel/2006/main">
          <x14:cfRule type="expression" priority="12" id="{C17715BD-BD8B-4B24-8A46-EA4FD526BC14}">
            <xm:f>団体情報・入力の仕方!$C$3&lt;&gt;"大田区大会"</xm:f>
            <x14:dxf>
              <fill>
                <patternFill>
                  <bgColor theme="0" tint="-0.499984740745262"/>
                </patternFill>
              </fill>
            </x14:dxf>
          </x14:cfRule>
          <xm:sqref>A88:XFD88 A89:L89 O89 R89:XFD89 A90:XFD90 A91:L91 O91 R91:XFD91 A92:XFD92 A93:L93 O93 R93:XFD93 A94:XFD94 A95:L95 O95 R95:XFD95 A96:XFD98</xm:sqref>
        </x14:conditionalFormatting>
        <x14:conditionalFormatting xmlns:xm="http://schemas.microsoft.com/office/excel/2006/main">
          <x14:cfRule type="expression" priority="7" id="{92FEC3CA-724B-445D-8E65-EDAF64BEE547}">
            <xm:f>OR(団体情報・入力の仕方!$C$3="目黒区大会",団体情報・入力の仕方!$C$3="小平市大会",団体情報・入力の仕方!$C$3="品川区大会")</xm:f>
            <x14:dxf>
              <fill>
                <patternFill>
                  <bgColor theme="0" tint="-0.499984740745262"/>
                </patternFill>
              </fill>
            </x14:dxf>
          </x14:cfRule>
          <xm:sqref>A135:XFD141</xm:sqref>
        </x14:conditionalFormatting>
        <x14:conditionalFormatting xmlns:xm="http://schemas.microsoft.com/office/excel/2006/main">
          <x14:cfRule type="expression" priority="10" id="{63118066-4A9A-4F85-87B2-A953D648779E}">
            <xm:f>団体情報・入力の仕方!$C$3="品川区大会"</xm:f>
            <x14:dxf>
              <fill>
                <patternFill>
                  <bgColor theme="0" tint="-0.499984740745262"/>
                </patternFill>
              </fill>
            </x14:dxf>
          </x14:cfRule>
          <xm:sqref>C43:X56</xm:sqref>
        </x14:conditionalFormatting>
        <x14:conditionalFormatting xmlns:xm="http://schemas.microsoft.com/office/excel/2006/main">
          <x14:cfRule type="expression" priority="3" id="{C71D2662-C06A-4C16-8A9D-400CEA7A3E4A}">
            <xm:f>団体情報・入力の仕方!$C$3="品川区大会"</xm:f>
            <x14:dxf>
              <fill>
                <patternFill>
                  <bgColor theme="0" tint="-0.499984740745262"/>
                </patternFill>
              </fill>
            </x14:dxf>
          </x14:cfRule>
          <xm:sqref>C62:X75</xm:sqref>
        </x14:conditionalFormatting>
        <x14:conditionalFormatting xmlns:xm="http://schemas.microsoft.com/office/excel/2006/main">
          <x14:cfRule type="expression" priority="6" id="{98095454-28E7-43AF-9D5C-1A0A41199493}">
            <xm:f>団体情報・入力の仕方!$C$3&lt;&gt;"港区大会"</xm:f>
            <x14:dxf>
              <fill>
                <patternFill>
                  <bgColor theme="0" tint="-0.499984740745262"/>
                </patternFill>
              </fill>
            </x14:dxf>
          </x14:cfRule>
          <xm:sqref>I135:P137</xm:sqref>
        </x14:conditionalFormatting>
        <x14:conditionalFormatting xmlns:xm="http://schemas.microsoft.com/office/excel/2006/main">
          <x14:cfRule type="expression" priority="8" id="{616F21AC-D9EB-4D4A-8E28-2FC92659854A}">
            <xm:f>(団体情報・入力の仕方!$C$3="小平市大会")</xm:f>
            <x14:dxf>
              <fill>
                <patternFill>
                  <bgColor theme="0" tint="-0.499984740745262"/>
                </patternFill>
              </fill>
            </x14:dxf>
          </x14:cfRule>
          <xm:sqref>I124:AA133</xm:sqref>
        </x14:conditionalFormatting>
        <x14:conditionalFormatting xmlns:xm="http://schemas.microsoft.com/office/excel/2006/main">
          <x14:cfRule type="expression" priority="9" id="{2BC8A06A-1742-4908-B166-ECCC6840947E}">
            <xm:f>団体情報・入力の仕方!$C$3="品川区大会"</xm:f>
            <x14:dxf>
              <fill>
                <patternFill>
                  <bgColor theme="0" tint="-0.499984740745262"/>
                </patternFill>
              </fill>
            </x14:dxf>
          </x14:cfRule>
          <xm:sqref>S125:AA133 I129:Q133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16</vt:i4>
      </vt:variant>
    </vt:vector>
  </HeadingPairs>
  <TitlesOfParts>
    <vt:vector size="25" baseType="lpstr">
      <vt:lpstr>団体情報・入力の仕方</vt:lpstr>
      <vt:lpstr>入力シート</vt:lpstr>
      <vt:lpstr>マスターズ用入力シート</vt:lpstr>
      <vt:lpstr>エントリー別人数表＆参加費申込書</vt:lpstr>
      <vt:lpstr>参照データ</vt:lpstr>
      <vt:lpstr>Sheet1</vt:lpstr>
      <vt:lpstr>入力確認用</vt:lpstr>
      <vt:lpstr>入力時の注意事項</vt:lpstr>
      <vt:lpstr>エントリー別人数表＆参加費申込書（予備復元用）</vt:lpstr>
      <vt:lpstr>'エントリー別人数表＆参加費申込書'!Print_Area</vt:lpstr>
      <vt:lpstr>'エントリー別人数表＆参加費申込書（予備復元用）'!Print_Area</vt:lpstr>
      <vt:lpstr>マスターズ用入力シート!Print_Area</vt:lpstr>
      <vt:lpstr>団体情報・入力の仕方!Print_Area</vt:lpstr>
      <vt:lpstr>入力シート!Print_Area</vt:lpstr>
      <vt:lpstr>マスターズ用入力シート!Print_Titles</vt:lpstr>
      <vt:lpstr>入力シート!Print_Titles</vt:lpstr>
      <vt:lpstr>プレチームコンテスト</vt:lpstr>
      <vt:lpstr>自由演技</vt:lpstr>
      <vt:lpstr>マスターズ用入力シート!大田区以外</vt:lpstr>
      <vt:lpstr>大田区以外</vt:lpstr>
      <vt:lpstr>マスターズ用入力シート!大田区大会</vt:lpstr>
      <vt:lpstr>大田区大会</vt:lpstr>
      <vt:lpstr>都県</vt:lpstr>
      <vt:lpstr>マスターズ用入力シート!未就学</vt:lpstr>
      <vt:lpstr>未就学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manabu</dc:creator>
  <cp:lastModifiedBy>manabu kawaguchi</cp:lastModifiedBy>
  <cp:lastPrinted>2021-09-10T09:22:49Z</cp:lastPrinted>
  <dcterms:created xsi:type="dcterms:W3CDTF">2017-02-27T02:54:30Z</dcterms:created>
  <dcterms:modified xsi:type="dcterms:W3CDTF">2025-09-26T14:24:19Z</dcterms:modified>
</cp:coreProperties>
</file>