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01\Desktop\"/>
    </mc:Choice>
  </mc:AlternateContent>
  <xr:revisionPtr revIDLastSave="0" documentId="13_ncr:1_{9E234F67-F293-4645-A377-E08217E76A2F}" xr6:coauthVersionLast="47" xr6:coauthVersionMax="47" xr10:uidLastSave="{00000000-0000-0000-0000-000000000000}"/>
  <workbookProtection workbookAlgorithmName="SHA-512" workbookHashValue="laZrx72Zm9VyNTRrawFCzlX9Zzty3b8j5uzJKPF7lCHWZiMjTnuSFkye2PwZGnSU7beSsFMCqG0U4Pgab3NelA==" workbookSaltValue="oxV7Doo114tl6fCUcI8Nzw==" workbookSpinCount="100000" lockStructure="1"/>
  <bookViews>
    <workbookView xWindow="-120" yWindow="-120" windowWidth="29040" windowHeight="15720" activeTab="2" xr2:uid="{00000000-000D-0000-FFFF-FFFF00000000}"/>
  </bookViews>
  <sheets>
    <sheet name="団体情報・入力の仕方" sheetId="6" r:id="rId1"/>
    <sheet name="入力シート" sheetId="4" r:id="rId2"/>
    <sheet name="エントリー別人数表＆参加費申込書" sheetId="3" r:id="rId3"/>
    <sheet name="基本データ" sheetId="10" state="hidden" r:id="rId4"/>
    <sheet name="参照データ" sheetId="5" state="hidden" r:id="rId5"/>
    <sheet name="マクロ用" sheetId="8" state="hidden" r:id="rId6"/>
    <sheet name="確認入力用" sheetId="9" state="hidden" r:id="rId7"/>
  </sheets>
  <definedNames>
    <definedName name="excelﾊﾞｰｼﾞｮﾝ" localSheetId="5">参照データ!$Z$3:$Z$5</definedName>
    <definedName name="excelﾊﾞｰｼﾞｮﾝ">参照データ!#REF!</definedName>
    <definedName name="_xlnm.Print_Area" localSheetId="2">'エントリー別人数表＆参加費申込書'!$A$1:$AD$154</definedName>
    <definedName name="_xlnm.Print_Area" localSheetId="0">団体情報・入力の仕方!$A$1:$N$69</definedName>
    <definedName name="_xlnm.Print_Area" localSheetId="1">入力シート!$I$12:$BG$71</definedName>
    <definedName name="_xlnm.Print_Titles" localSheetId="1">入力シート!$B:$H,入力シート!$1:$11</definedName>
    <definedName name="都県" localSheetId="5">参照データ!$B$3:$B$10</definedName>
    <definedName name="都県">参照データ!$B$3:$B$10</definedName>
    <definedName name="未就学">入力シート!$BI$74:$BJ$76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M5" i="4" l="1"/>
  <c r="GY71" i="4"/>
  <c r="GY70" i="4"/>
  <c r="GY69" i="4"/>
  <c r="GY68" i="4"/>
  <c r="GY67" i="4"/>
  <c r="GY66" i="4"/>
  <c r="GY65" i="4"/>
  <c r="GY64" i="4"/>
  <c r="GY63" i="4"/>
  <c r="GY62" i="4"/>
  <c r="GY61" i="4"/>
  <c r="GY60" i="4"/>
  <c r="GY59" i="4"/>
  <c r="GY58" i="4"/>
  <c r="GY57" i="4"/>
  <c r="GY56" i="4"/>
  <c r="GY55" i="4"/>
  <c r="GY54" i="4"/>
  <c r="GY53" i="4"/>
  <c r="GY52" i="4"/>
  <c r="GY51" i="4"/>
  <c r="GY50" i="4"/>
  <c r="GY49" i="4"/>
  <c r="GY48" i="4"/>
  <c r="GY47" i="4"/>
  <c r="GY46" i="4"/>
  <c r="GY45" i="4"/>
  <c r="GY44" i="4"/>
  <c r="GY43" i="4"/>
  <c r="GY42" i="4"/>
  <c r="GY41" i="4"/>
  <c r="GY40" i="4"/>
  <c r="GY39" i="4"/>
  <c r="GY38" i="4"/>
  <c r="GY37" i="4"/>
  <c r="GY36" i="4"/>
  <c r="GY35" i="4"/>
  <c r="GY34" i="4"/>
  <c r="GY33" i="4"/>
  <c r="GY32" i="4"/>
  <c r="GY31" i="4"/>
  <c r="GY30" i="4"/>
  <c r="GY29" i="4"/>
  <c r="GY28" i="4"/>
  <c r="GY27" i="4"/>
  <c r="GY26" i="4"/>
  <c r="GY25" i="4"/>
  <c r="GY24" i="4"/>
  <c r="GY23" i="4"/>
  <c r="GY22" i="4"/>
  <c r="GY21" i="4"/>
  <c r="GY20" i="4"/>
  <c r="GY19" i="4"/>
  <c r="GY18" i="4"/>
  <c r="GY17" i="4"/>
  <c r="GY16" i="4"/>
  <c r="GY15" i="4"/>
  <c r="GY14" i="4"/>
  <c r="GY13" i="4"/>
  <c r="B142" i="3"/>
  <c r="G105" i="3" l="1"/>
  <c r="DQ23" i="4"/>
  <c r="DR23" i="4" s="1"/>
  <c r="DQ22" i="4"/>
  <c r="DR22" i="4" s="1"/>
  <c r="DQ21" i="4"/>
  <c r="DR21" i="4" s="1"/>
  <c r="DQ20" i="4"/>
  <c r="DR20" i="4" s="1"/>
  <c r="DQ19" i="4"/>
  <c r="DR19" i="4" s="1"/>
  <c r="DQ18" i="4"/>
  <c r="DR18" i="4" s="1"/>
  <c r="DQ17" i="4"/>
  <c r="DR17" i="4" s="1"/>
  <c r="DQ16" i="4"/>
  <c r="DR16" i="4" s="1"/>
  <c r="DQ15" i="4"/>
  <c r="DR15" i="4" s="1"/>
  <c r="DQ14" i="4"/>
  <c r="DR14" i="4" s="1"/>
  <c r="DQ13" i="4"/>
  <c r="DR13" i="4" s="1"/>
  <c r="DO71" i="4"/>
  <c r="DO70" i="4"/>
  <c r="DO69" i="4"/>
  <c r="DO68" i="4"/>
  <c r="DO67" i="4"/>
  <c r="DO66" i="4"/>
  <c r="DO65" i="4"/>
  <c r="DO64" i="4"/>
  <c r="DO63" i="4"/>
  <c r="DO62" i="4"/>
  <c r="DO61" i="4"/>
  <c r="DO60" i="4"/>
  <c r="DO59" i="4"/>
  <c r="DO58" i="4"/>
  <c r="DO57" i="4"/>
  <c r="DO56" i="4"/>
  <c r="DO55" i="4"/>
  <c r="DO54" i="4"/>
  <c r="DO53" i="4"/>
  <c r="DO52" i="4"/>
  <c r="DO51" i="4"/>
  <c r="DO50" i="4"/>
  <c r="DO49" i="4"/>
  <c r="DO48" i="4"/>
  <c r="DO47" i="4"/>
  <c r="DO46" i="4"/>
  <c r="DO45" i="4"/>
  <c r="DO44" i="4"/>
  <c r="DO43" i="4"/>
  <c r="DO42" i="4"/>
  <c r="DO41" i="4"/>
  <c r="DO40" i="4"/>
  <c r="DO39" i="4"/>
  <c r="DO38" i="4"/>
  <c r="DO37" i="4"/>
  <c r="DO36" i="4"/>
  <c r="DO35" i="4"/>
  <c r="DO34" i="4"/>
  <c r="DO33" i="4"/>
  <c r="DO32" i="4"/>
  <c r="DO31" i="4"/>
  <c r="DO30" i="4"/>
  <c r="DO29" i="4"/>
  <c r="DO28" i="4"/>
  <c r="DO27" i="4"/>
  <c r="DO26" i="4"/>
  <c r="DO25" i="4"/>
  <c r="DO24" i="4"/>
  <c r="DO23" i="4"/>
  <c r="DO22" i="4"/>
  <c r="DO21" i="4"/>
  <c r="DO20" i="4"/>
  <c r="DO19" i="4"/>
  <c r="DO18" i="4"/>
  <c r="DO17" i="4"/>
  <c r="DO16" i="4"/>
  <c r="DO15" i="4"/>
  <c r="DO14" i="4"/>
  <c r="DO13" i="4"/>
  <c r="DO12" i="4"/>
  <c r="DM71" i="4"/>
  <c r="DM70" i="4"/>
  <c r="DM69" i="4"/>
  <c r="DM68" i="4"/>
  <c r="DM67" i="4"/>
  <c r="DM66" i="4"/>
  <c r="DM65" i="4"/>
  <c r="DM64" i="4"/>
  <c r="DM63" i="4"/>
  <c r="DM62" i="4"/>
  <c r="DM61" i="4"/>
  <c r="DM60" i="4"/>
  <c r="DM59" i="4"/>
  <c r="DM58" i="4"/>
  <c r="DM57" i="4"/>
  <c r="DM56" i="4"/>
  <c r="DM55" i="4"/>
  <c r="DM54" i="4"/>
  <c r="DM53" i="4"/>
  <c r="DM52" i="4"/>
  <c r="DM51" i="4"/>
  <c r="DM50" i="4"/>
  <c r="DM49" i="4"/>
  <c r="DM48" i="4"/>
  <c r="DM47" i="4"/>
  <c r="DM46" i="4"/>
  <c r="DM45" i="4"/>
  <c r="DM44" i="4"/>
  <c r="DM43" i="4"/>
  <c r="DM42" i="4"/>
  <c r="DM41" i="4"/>
  <c r="DM40" i="4"/>
  <c r="DM39" i="4"/>
  <c r="DM38" i="4"/>
  <c r="DM37" i="4"/>
  <c r="DM36" i="4"/>
  <c r="DM35" i="4"/>
  <c r="DM34" i="4"/>
  <c r="DM33" i="4"/>
  <c r="DM32" i="4"/>
  <c r="DM31" i="4"/>
  <c r="DM30" i="4"/>
  <c r="DM29" i="4"/>
  <c r="DM28" i="4"/>
  <c r="DM27" i="4"/>
  <c r="DM26" i="4"/>
  <c r="DM25" i="4"/>
  <c r="DM24" i="4"/>
  <c r="DM23" i="4"/>
  <c r="DM22" i="4"/>
  <c r="DM21" i="4"/>
  <c r="DM20" i="4"/>
  <c r="DM19" i="4"/>
  <c r="DM18" i="4"/>
  <c r="DM17" i="4"/>
  <c r="DM16" i="4"/>
  <c r="DM15" i="4"/>
  <c r="DM14" i="4"/>
  <c r="DM13" i="4"/>
  <c r="DM12" i="4"/>
  <c r="AS12" i="4"/>
  <c r="AY11" i="4"/>
  <c r="AV11" i="4"/>
  <c r="AT11" i="4"/>
  <c r="AR11" i="4"/>
  <c r="AP11" i="4"/>
  <c r="AN11" i="4"/>
  <c r="L135" i="3"/>
  <c r="L136" i="3"/>
  <c r="L137" i="3"/>
  <c r="L138" i="3"/>
  <c r="BA23" i="4"/>
  <c r="BA22" i="4"/>
  <c r="EA23" i="4"/>
  <c r="EB23" i="4" s="1"/>
  <c r="EA22" i="4"/>
  <c r="EB22" i="4" s="1"/>
  <c r="EA21" i="4"/>
  <c r="EA20" i="4"/>
  <c r="EA19" i="4"/>
  <c r="EA18" i="4"/>
  <c r="EA17" i="4"/>
  <c r="EA16" i="4"/>
  <c r="EA15" i="4"/>
  <c r="EA14" i="4"/>
  <c r="EA13" i="4"/>
  <c r="EA12" i="4"/>
  <c r="EA71" i="4"/>
  <c r="EA70" i="4"/>
  <c r="EA69" i="4"/>
  <c r="EA68" i="4"/>
  <c r="EA67" i="4"/>
  <c r="EA66" i="4"/>
  <c r="EA65" i="4"/>
  <c r="EA64" i="4"/>
  <c r="EA63" i="4"/>
  <c r="EA62" i="4"/>
  <c r="EA61" i="4"/>
  <c r="EA60" i="4"/>
  <c r="EA59" i="4"/>
  <c r="EA58" i="4"/>
  <c r="EA57" i="4"/>
  <c r="EA56" i="4"/>
  <c r="EA55" i="4"/>
  <c r="EA54" i="4"/>
  <c r="EA53" i="4"/>
  <c r="EA52" i="4"/>
  <c r="EA51" i="4"/>
  <c r="EA50" i="4"/>
  <c r="EA49" i="4"/>
  <c r="EA48" i="4"/>
  <c r="EA47" i="4"/>
  <c r="EA46" i="4"/>
  <c r="EA45" i="4"/>
  <c r="EA44" i="4"/>
  <c r="EA43" i="4"/>
  <c r="EA42" i="4"/>
  <c r="EA41" i="4"/>
  <c r="EA40" i="4"/>
  <c r="EA39" i="4"/>
  <c r="EA38" i="4"/>
  <c r="EA37" i="4"/>
  <c r="EA36" i="4"/>
  <c r="EA35" i="4"/>
  <c r="EA34" i="4"/>
  <c r="EA33" i="4"/>
  <c r="EA32" i="4"/>
  <c r="EA31" i="4"/>
  <c r="EA30" i="4"/>
  <c r="EA29" i="4"/>
  <c r="EA28" i="4"/>
  <c r="EA27" i="4"/>
  <c r="EA26" i="4"/>
  <c r="EA25" i="4"/>
  <c r="EA24" i="4"/>
  <c r="EF18" i="4" l="1"/>
  <c r="EF22" i="4"/>
  <c r="EF14" i="4"/>
  <c r="EF15" i="4"/>
  <c r="EF19" i="4"/>
  <c r="EF23" i="4"/>
  <c r="EF16" i="4"/>
  <c r="EF20" i="4"/>
  <c r="EF17" i="4"/>
  <c r="EF21" i="4"/>
  <c r="EI138" i="4"/>
  <c r="EI137" i="4"/>
  <c r="EI136" i="4"/>
  <c r="EI135" i="4"/>
  <c r="EI134" i="4"/>
  <c r="EI133" i="4"/>
  <c r="EI132" i="4"/>
  <c r="EI131" i="4"/>
  <c r="EI130" i="4"/>
  <c r="EI129" i="4"/>
  <c r="EI128" i="4"/>
  <c r="EI127" i="4"/>
  <c r="EI126" i="4"/>
  <c r="EI125" i="4"/>
  <c r="EI124" i="4"/>
  <c r="EI123" i="4"/>
  <c r="EI122" i="4"/>
  <c r="EI121" i="4"/>
  <c r="EI120" i="4"/>
  <c r="EI119" i="4"/>
  <c r="EI118" i="4"/>
  <c r="EI117" i="4"/>
  <c r="EI116" i="4"/>
  <c r="EI115" i="4"/>
  <c r="EI114" i="4"/>
  <c r="EI113" i="4"/>
  <c r="EI112" i="4"/>
  <c r="EI111" i="4"/>
  <c r="EI110" i="4"/>
  <c r="EI109" i="4"/>
  <c r="EI108" i="4"/>
  <c r="EI107" i="4"/>
  <c r="EI106" i="4"/>
  <c r="EI105" i="4"/>
  <c r="EI104" i="4"/>
  <c r="EI103" i="4"/>
  <c r="EI102" i="4"/>
  <c r="EI101" i="4"/>
  <c r="EI100" i="4"/>
  <c r="EI99" i="4"/>
  <c r="EI98" i="4"/>
  <c r="EI97" i="4"/>
  <c r="EI96" i="4"/>
  <c r="EI95" i="4"/>
  <c r="EI94" i="4"/>
  <c r="EI93" i="4"/>
  <c r="EI92" i="4"/>
  <c r="EI91" i="4"/>
  <c r="EI90" i="4"/>
  <c r="EI89" i="4"/>
  <c r="EI88" i="4"/>
  <c r="EI87" i="4"/>
  <c r="EI86" i="4"/>
  <c r="EI85" i="4"/>
  <c r="EI84" i="4"/>
  <c r="EI83" i="4"/>
  <c r="EI82" i="4"/>
  <c r="EI81" i="4"/>
  <c r="EI80" i="4"/>
  <c r="EI79" i="4"/>
  <c r="EI78" i="4"/>
  <c r="EI77" i="4"/>
  <c r="EI76" i="4"/>
  <c r="EI75" i="4"/>
  <c r="EI72" i="4"/>
  <c r="B139" i="3"/>
  <c r="B138" i="3"/>
  <c r="B137" i="3"/>
  <c r="B136" i="3"/>
  <c r="B135" i="3"/>
  <c r="GU71" i="4"/>
  <c r="GZ71" i="4" s="1"/>
  <c r="GT71" i="4"/>
  <c r="GS71" i="4"/>
  <c r="GX71" i="4" s="1"/>
  <c r="GU70" i="4"/>
  <c r="GZ70" i="4" s="1"/>
  <c r="GT70" i="4"/>
  <c r="GS70" i="4"/>
  <c r="GX70" i="4" s="1"/>
  <c r="GU69" i="4"/>
  <c r="GZ69" i="4" s="1"/>
  <c r="GT69" i="4"/>
  <c r="GS69" i="4"/>
  <c r="GX69" i="4" s="1"/>
  <c r="GU68" i="4"/>
  <c r="GT68" i="4"/>
  <c r="GS68" i="4"/>
  <c r="GX68" i="4" s="1"/>
  <c r="GU67" i="4"/>
  <c r="GZ67" i="4" s="1"/>
  <c r="GT67" i="4"/>
  <c r="GS67" i="4"/>
  <c r="GX67" i="4" s="1"/>
  <c r="GU66" i="4"/>
  <c r="GZ66" i="4" s="1"/>
  <c r="GT66" i="4"/>
  <c r="GS66" i="4"/>
  <c r="GX66" i="4" s="1"/>
  <c r="GU65" i="4"/>
  <c r="GZ65" i="4" s="1"/>
  <c r="GT65" i="4"/>
  <c r="GS65" i="4"/>
  <c r="GX65" i="4" s="1"/>
  <c r="GU64" i="4"/>
  <c r="GZ64" i="4" s="1"/>
  <c r="GT64" i="4"/>
  <c r="GS64" i="4"/>
  <c r="GX64" i="4" s="1"/>
  <c r="GU63" i="4"/>
  <c r="GZ63" i="4" s="1"/>
  <c r="GT63" i="4"/>
  <c r="GS63" i="4"/>
  <c r="GX63" i="4" s="1"/>
  <c r="GU62" i="4"/>
  <c r="GZ62" i="4" s="1"/>
  <c r="GT62" i="4"/>
  <c r="GS62" i="4"/>
  <c r="GX62" i="4" s="1"/>
  <c r="GU61" i="4"/>
  <c r="GZ61" i="4" s="1"/>
  <c r="GT61" i="4"/>
  <c r="GS61" i="4"/>
  <c r="GX61" i="4" s="1"/>
  <c r="GU60" i="4"/>
  <c r="GZ60" i="4" s="1"/>
  <c r="GT60" i="4"/>
  <c r="GS60" i="4"/>
  <c r="GX60" i="4" s="1"/>
  <c r="GU59" i="4"/>
  <c r="GZ59" i="4" s="1"/>
  <c r="GT59" i="4"/>
  <c r="GS59" i="4"/>
  <c r="GX59" i="4" s="1"/>
  <c r="GU58" i="4"/>
  <c r="GZ58" i="4" s="1"/>
  <c r="GT58" i="4"/>
  <c r="GS58" i="4"/>
  <c r="GX58" i="4" s="1"/>
  <c r="GU57" i="4"/>
  <c r="GZ57" i="4" s="1"/>
  <c r="GT57" i="4"/>
  <c r="GS57" i="4"/>
  <c r="GX57" i="4" s="1"/>
  <c r="GU56" i="4"/>
  <c r="GZ56" i="4" s="1"/>
  <c r="GT56" i="4"/>
  <c r="GS56" i="4"/>
  <c r="GX56" i="4" s="1"/>
  <c r="GU55" i="4"/>
  <c r="GZ55" i="4" s="1"/>
  <c r="GT55" i="4"/>
  <c r="GS55" i="4"/>
  <c r="GX55" i="4" s="1"/>
  <c r="GU54" i="4"/>
  <c r="GZ54" i="4" s="1"/>
  <c r="GT54" i="4"/>
  <c r="GS54" i="4"/>
  <c r="GX54" i="4" s="1"/>
  <c r="GU53" i="4"/>
  <c r="GZ53" i="4" s="1"/>
  <c r="GT53" i="4"/>
  <c r="GS53" i="4"/>
  <c r="GX53" i="4" s="1"/>
  <c r="GU52" i="4"/>
  <c r="GZ52" i="4" s="1"/>
  <c r="GT52" i="4"/>
  <c r="GS52" i="4"/>
  <c r="GX52" i="4" s="1"/>
  <c r="GU51" i="4"/>
  <c r="GZ51" i="4" s="1"/>
  <c r="GT51" i="4"/>
  <c r="GS51" i="4"/>
  <c r="GX51" i="4" s="1"/>
  <c r="GU50" i="4"/>
  <c r="GZ50" i="4" s="1"/>
  <c r="GT50" i="4"/>
  <c r="GS50" i="4"/>
  <c r="GX50" i="4" s="1"/>
  <c r="GU49" i="4"/>
  <c r="GZ49" i="4" s="1"/>
  <c r="GT49" i="4"/>
  <c r="GS49" i="4"/>
  <c r="GX49" i="4" s="1"/>
  <c r="GU48" i="4"/>
  <c r="GZ48" i="4" s="1"/>
  <c r="GT48" i="4"/>
  <c r="GS48" i="4"/>
  <c r="GX48" i="4" s="1"/>
  <c r="GU47" i="4"/>
  <c r="GT47" i="4"/>
  <c r="GS47" i="4"/>
  <c r="GX47" i="4" s="1"/>
  <c r="GU46" i="4"/>
  <c r="GZ46" i="4" s="1"/>
  <c r="GT46" i="4"/>
  <c r="GS46" i="4"/>
  <c r="GX46" i="4" s="1"/>
  <c r="GU45" i="4"/>
  <c r="GZ45" i="4" s="1"/>
  <c r="GT45" i="4"/>
  <c r="GS45" i="4"/>
  <c r="GX45" i="4" s="1"/>
  <c r="GU44" i="4"/>
  <c r="GZ44" i="4" s="1"/>
  <c r="GT44" i="4"/>
  <c r="GS44" i="4"/>
  <c r="GX44" i="4" s="1"/>
  <c r="GU43" i="4"/>
  <c r="GZ43" i="4" s="1"/>
  <c r="GT43" i="4"/>
  <c r="GS43" i="4"/>
  <c r="GX43" i="4" s="1"/>
  <c r="GU42" i="4"/>
  <c r="GZ42" i="4" s="1"/>
  <c r="GT42" i="4"/>
  <c r="GS42" i="4"/>
  <c r="GX42" i="4" s="1"/>
  <c r="GU41" i="4"/>
  <c r="GZ41" i="4" s="1"/>
  <c r="GT41" i="4"/>
  <c r="GS41" i="4"/>
  <c r="GX41" i="4" s="1"/>
  <c r="GU40" i="4"/>
  <c r="GZ40" i="4" s="1"/>
  <c r="GT40" i="4"/>
  <c r="GS40" i="4"/>
  <c r="GU39" i="4"/>
  <c r="GZ39" i="4" s="1"/>
  <c r="GT39" i="4"/>
  <c r="GS39" i="4"/>
  <c r="GX39" i="4" s="1"/>
  <c r="GU38" i="4"/>
  <c r="GZ38" i="4" s="1"/>
  <c r="GT38" i="4"/>
  <c r="GS38" i="4"/>
  <c r="GX38" i="4" s="1"/>
  <c r="GU37" i="4"/>
  <c r="GZ37" i="4" s="1"/>
  <c r="GT37" i="4"/>
  <c r="GS37" i="4"/>
  <c r="GX37" i="4" s="1"/>
  <c r="GU36" i="4"/>
  <c r="GZ36" i="4" s="1"/>
  <c r="GT36" i="4"/>
  <c r="GS36" i="4"/>
  <c r="GX36" i="4" s="1"/>
  <c r="GU35" i="4"/>
  <c r="GZ35" i="4" s="1"/>
  <c r="GT35" i="4"/>
  <c r="GS35" i="4"/>
  <c r="GX35" i="4" s="1"/>
  <c r="GU34" i="4"/>
  <c r="GZ34" i="4" s="1"/>
  <c r="GT34" i="4"/>
  <c r="GS34" i="4"/>
  <c r="GX34" i="4" s="1"/>
  <c r="GU33" i="4"/>
  <c r="GZ33" i="4" s="1"/>
  <c r="GT33" i="4"/>
  <c r="GS33" i="4"/>
  <c r="GX33" i="4" s="1"/>
  <c r="GU32" i="4"/>
  <c r="GZ32" i="4" s="1"/>
  <c r="GT32" i="4"/>
  <c r="GS32" i="4"/>
  <c r="GX32" i="4" s="1"/>
  <c r="GU31" i="4"/>
  <c r="GZ31" i="4" s="1"/>
  <c r="GT31" i="4"/>
  <c r="GS31" i="4"/>
  <c r="GX31" i="4" s="1"/>
  <c r="GU30" i="4"/>
  <c r="GZ30" i="4" s="1"/>
  <c r="GT30" i="4"/>
  <c r="GS30" i="4"/>
  <c r="GX30" i="4" s="1"/>
  <c r="GU29" i="4"/>
  <c r="GZ29" i="4" s="1"/>
  <c r="GT29" i="4"/>
  <c r="GS29" i="4"/>
  <c r="GX29" i="4" s="1"/>
  <c r="GU28" i="4"/>
  <c r="GZ28" i="4" s="1"/>
  <c r="GT28" i="4"/>
  <c r="GS28" i="4"/>
  <c r="GX28" i="4" s="1"/>
  <c r="GU27" i="4"/>
  <c r="GZ27" i="4" s="1"/>
  <c r="GT27" i="4"/>
  <c r="GS27" i="4"/>
  <c r="GX27" i="4" s="1"/>
  <c r="GU26" i="4"/>
  <c r="GZ26" i="4" s="1"/>
  <c r="GT26" i="4"/>
  <c r="GS26" i="4"/>
  <c r="GX26" i="4" s="1"/>
  <c r="GU25" i="4"/>
  <c r="GZ25" i="4" s="1"/>
  <c r="GT25" i="4"/>
  <c r="GS25" i="4"/>
  <c r="GX25" i="4" s="1"/>
  <c r="GU24" i="4"/>
  <c r="GZ24" i="4" s="1"/>
  <c r="GT24" i="4"/>
  <c r="GS24" i="4"/>
  <c r="GX24" i="4" s="1"/>
  <c r="GU23" i="4"/>
  <c r="GZ23" i="4" s="1"/>
  <c r="GT23" i="4"/>
  <c r="GS23" i="4"/>
  <c r="GX23" i="4" s="1"/>
  <c r="GU22" i="4"/>
  <c r="GZ22" i="4" s="1"/>
  <c r="GT22" i="4"/>
  <c r="GS22" i="4"/>
  <c r="GX22" i="4" s="1"/>
  <c r="GU21" i="4"/>
  <c r="GZ21" i="4" s="1"/>
  <c r="GT21" i="4"/>
  <c r="GS21" i="4"/>
  <c r="GX21" i="4" s="1"/>
  <c r="GU20" i="4"/>
  <c r="GT20" i="4"/>
  <c r="GS20" i="4"/>
  <c r="GX20" i="4" s="1"/>
  <c r="GU19" i="4"/>
  <c r="GZ19" i="4" s="1"/>
  <c r="GT19" i="4"/>
  <c r="GS19" i="4"/>
  <c r="GX19" i="4" s="1"/>
  <c r="GU18" i="4"/>
  <c r="GZ18" i="4" s="1"/>
  <c r="GT18" i="4"/>
  <c r="GS18" i="4"/>
  <c r="GX18" i="4" s="1"/>
  <c r="GU17" i="4"/>
  <c r="GZ17" i="4" s="1"/>
  <c r="GT17" i="4"/>
  <c r="GS17" i="4"/>
  <c r="GX17" i="4" s="1"/>
  <c r="GU16" i="4"/>
  <c r="GZ16" i="4" s="1"/>
  <c r="GT16" i="4"/>
  <c r="GS16" i="4"/>
  <c r="GX16" i="4" s="1"/>
  <c r="GU15" i="4"/>
  <c r="GZ15" i="4" s="1"/>
  <c r="GT15" i="4"/>
  <c r="GS15" i="4"/>
  <c r="GX15" i="4" s="1"/>
  <c r="GU14" i="4"/>
  <c r="GZ14" i="4" s="1"/>
  <c r="GT14" i="4"/>
  <c r="GS14" i="4"/>
  <c r="GX14" i="4" s="1"/>
  <c r="GU13" i="4"/>
  <c r="GZ13" i="4" s="1"/>
  <c r="GT13" i="4"/>
  <c r="GS13" i="4"/>
  <c r="GX13" i="4" s="1"/>
  <c r="GZ68" i="4"/>
  <c r="GZ20" i="4"/>
  <c r="GZ47" i="4"/>
  <c r="GX40" i="4"/>
  <c r="GU12" i="4"/>
  <c r="GZ12" i="4" s="1"/>
  <c r="GT12" i="4"/>
  <c r="GY12" i="4" s="1"/>
  <c r="GS12" i="4"/>
  <c r="GX12" i="4" s="1"/>
  <c r="EZ75" i="4"/>
  <c r="EZ74" i="4"/>
  <c r="EZ73" i="4"/>
  <c r="EZ72" i="4"/>
  <c r="EZ71" i="4"/>
  <c r="EZ70" i="4"/>
  <c r="EZ69" i="4"/>
  <c r="EZ68" i="4"/>
  <c r="EZ67" i="4"/>
  <c r="EZ66" i="4"/>
  <c r="EZ65" i="4"/>
  <c r="EZ64" i="4"/>
  <c r="EZ63" i="4"/>
  <c r="EZ62" i="4"/>
  <c r="EZ61" i="4"/>
  <c r="EZ60" i="4"/>
  <c r="EZ59" i="4"/>
  <c r="EZ58" i="4"/>
  <c r="EZ57" i="4"/>
  <c r="EZ56" i="4"/>
  <c r="EZ55" i="4"/>
  <c r="EZ54" i="4"/>
  <c r="EZ53" i="4"/>
  <c r="EZ52" i="4"/>
  <c r="EZ51" i="4"/>
  <c r="EZ50" i="4"/>
  <c r="EZ49" i="4"/>
  <c r="EZ48" i="4"/>
  <c r="EZ47" i="4"/>
  <c r="EZ46" i="4"/>
  <c r="EZ45" i="4"/>
  <c r="EZ44" i="4"/>
  <c r="EZ43" i="4"/>
  <c r="EZ42" i="4"/>
  <c r="EZ41" i="4"/>
  <c r="EZ40" i="4"/>
  <c r="EZ39" i="4"/>
  <c r="EZ38" i="4"/>
  <c r="EZ37" i="4"/>
  <c r="EZ36" i="4"/>
  <c r="EZ35" i="4"/>
  <c r="EZ34" i="4"/>
  <c r="EZ33" i="4"/>
  <c r="EZ32" i="4"/>
  <c r="EZ31" i="4"/>
  <c r="EZ30" i="4"/>
  <c r="EZ29" i="4"/>
  <c r="EZ28" i="4"/>
  <c r="EZ27" i="4"/>
  <c r="EZ26" i="4"/>
  <c r="EZ25" i="4"/>
  <c r="EZ24" i="4"/>
  <c r="EZ23" i="4"/>
  <c r="EZ22" i="4"/>
  <c r="EZ21" i="4"/>
  <c r="EZ20" i="4"/>
  <c r="EZ19" i="4"/>
  <c r="EZ18" i="4"/>
  <c r="EZ17" i="4"/>
  <c r="EZ16" i="4"/>
  <c r="EZ15" i="4"/>
  <c r="EZ14" i="4"/>
  <c r="EZ13" i="4"/>
  <c r="EZ12" i="4"/>
  <c r="ET71" i="4"/>
  <c r="ET70" i="4"/>
  <c r="ET69" i="4"/>
  <c r="ET68" i="4"/>
  <c r="ET67" i="4"/>
  <c r="ET66" i="4"/>
  <c r="ET65" i="4"/>
  <c r="ET64" i="4"/>
  <c r="ET63" i="4"/>
  <c r="ET62" i="4"/>
  <c r="ET61" i="4"/>
  <c r="ET60" i="4"/>
  <c r="ET59" i="4"/>
  <c r="ET58" i="4"/>
  <c r="ET57" i="4"/>
  <c r="ET56" i="4"/>
  <c r="ET55" i="4"/>
  <c r="ET54" i="4"/>
  <c r="ET53" i="4"/>
  <c r="ET52" i="4"/>
  <c r="EU52" i="4" s="1"/>
  <c r="ET51" i="4"/>
  <c r="ET50" i="4"/>
  <c r="ET49" i="4"/>
  <c r="ET48" i="4"/>
  <c r="ET47" i="4"/>
  <c r="ET46" i="4"/>
  <c r="ET45" i="4"/>
  <c r="ET44" i="4"/>
  <c r="ET43" i="4"/>
  <c r="ET42" i="4"/>
  <c r="ET41" i="4"/>
  <c r="ET40" i="4"/>
  <c r="ET39" i="4"/>
  <c r="ET38" i="4"/>
  <c r="ET37" i="4"/>
  <c r="ET36" i="4"/>
  <c r="ET35" i="4"/>
  <c r="ET34" i="4"/>
  <c r="ET33" i="4"/>
  <c r="ET32" i="4"/>
  <c r="EU32" i="4" s="1"/>
  <c r="ET31" i="4"/>
  <c r="ET30" i="4"/>
  <c r="ET29" i="4"/>
  <c r="ET28" i="4"/>
  <c r="ET27" i="4"/>
  <c r="ET26" i="4"/>
  <c r="ET25" i="4"/>
  <c r="ET24" i="4"/>
  <c r="ET23" i="4"/>
  <c r="ET22" i="4"/>
  <c r="ET21" i="4"/>
  <c r="ET20" i="4"/>
  <c r="ET19" i="4"/>
  <c r="ET18" i="4"/>
  <c r="ET17" i="4"/>
  <c r="ET16" i="4"/>
  <c r="ET15" i="4"/>
  <c r="ET14" i="4"/>
  <c r="ET13" i="4"/>
  <c r="ET12" i="4"/>
  <c r="EU12" i="4" s="1"/>
  <c r="EN71" i="4"/>
  <c r="EN70" i="4"/>
  <c r="EN69" i="4"/>
  <c r="EN68" i="4"/>
  <c r="EN67" i="4"/>
  <c r="EN66" i="4"/>
  <c r="EN65" i="4"/>
  <c r="EN64" i="4"/>
  <c r="EN63" i="4"/>
  <c r="EN62" i="4"/>
  <c r="EN61" i="4"/>
  <c r="EN60" i="4"/>
  <c r="EN59" i="4"/>
  <c r="EN58" i="4"/>
  <c r="EN57" i="4"/>
  <c r="EN56" i="4"/>
  <c r="EN55" i="4"/>
  <c r="EN54" i="4"/>
  <c r="EN53" i="4"/>
  <c r="EN52" i="4"/>
  <c r="EN51" i="4"/>
  <c r="EN50" i="4"/>
  <c r="EN49" i="4"/>
  <c r="EN48" i="4"/>
  <c r="EN47" i="4"/>
  <c r="EN46" i="4"/>
  <c r="EN45" i="4"/>
  <c r="EN44" i="4"/>
  <c r="EN43" i="4"/>
  <c r="EN42" i="4"/>
  <c r="EN41" i="4"/>
  <c r="EN40" i="4"/>
  <c r="EN39" i="4"/>
  <c r="EN38" i="4"/>
  <c r="EN37" i="4"/>
  <c r="EN36" i="4"/>
  <c r="EN35" i="4"/>
  <c r="EN34" i="4"/>
  <c r="EN33" i="4"/>
  <c r="EN32" i="4"/>
  <c r="EN31" i="4"/>
  <c r="EN30" i="4"/>
  <c r="EN29" i="4"/>
  <c r="EN28" i="4"/>
  <c r="EN27" i="4"/>
  <c r="EN26" i="4"/>
  <c r="EN25" i="4"/>
  <c r="EN24" i="4"/>
  <c r="EN23" i="4"/>
  <c r="EN22" i="4"/>
  <c r="EN21" i="4"/>
  <c r="EN20" i="4"/>
  <c r="EN19" i="4"/>
  <c r="EN18" i="4"/>
  <c r="EN17" i="4"/>
  <c r="EN16" i="4"/>
  <c r="EN15" i="4"/>
  <c r="EN14" i="4"/>
  <c r="EN13" i="4"/>
  <c r="EN12" i="4"/>
  <c r="EJ71" i="4"/>
  <c r="EK71" i="4" s="1"/>
  <c r="EJ70" i="4"/>
  <c r="EK70" i="4" s="1"/>
  <c r="EJ69" i="4"/>
  <c r="EK69" i="4" s="1"/>
  <c r="EJ68" i="4"/>
  <c r="EK68" i="4" s="1"/>
  <c r="EJ67" i="4"/>
  <c r="EK67" i="4" s="1"/>
  <c r="EJ66" i="4"/>
  <c r="EK66" i="4" s="1"/>
  <c r="EJ65" i="4"/>
  <c r="EK65" i="4" s="1"/>
  <c r="EJ64" i="4"/>
  <c r="EK64" i="4" s="1"/>
  <c r="EJ63" i="4"/>
  <c r="EK63" i="4" s="1"/>
  <c r="EJ62" i="4"/>
  <c r="EK62" i="4" s="1"/>
  <c r="EJ61" i="4"/>
  <c r="EK61" i="4" s="1"/>
  <c r="EJ60" i="4"/>
  <c r="EK60" i="4" s="1"/>
  <c r="EJ59" i="4"/>
  <c r="EK59" i="4" s="1"/>
  <c r="EJ58" i="4"/>
  <c r="EK58" i="4" s="1"/>
  <c r="EJ57" i="4"/>
  <c r="EK57" i="4" s="1"/>
  <c r="EJ56" i="4"/>
  <c r="EK56" i="4" s="1"/>
  <c r="EJ55" i="4"/>
  <c r="EK55" i="4" s="1"/>
  <c r="EJ54" i="4"/>
  <c r="EK54" i="4" s="1"/>
  <c r="EJ53" i="4"/>
  <c r="EK53" i="4" s="1"/>
  <c r="EJ52" i="4"/>
  <c r="EK52" i="4" s="1"/>
  <c r="EJ51" i="4"/>
  <c r="EK51" i="4" s="1"/>
  <c r="EJ50" i="4"/>
  <c r="EK50" i="4" s="1"/>
  <c r="EJ49" i="4"/>
  <c r="EK49" i="4" s="1"/>
  <c r="EJ48" i="4"/>
  <c r="EK48" i="4" s="1"/>
  <c r="EJ47" i="4"/>
  <c r="EK47" i="4" s="1"/>
  <c r="EJ46" i="4"/>
  <c r="EK46" i="4" s="1"/>
  <c r="EJ45" i="4"/>
  <c r="EK45" i="4" s="1"/>
  <c r="EJ44" i="4"/>
  <c r="EK44" i="4" s="1"/>
  <c r="EJ43" i="4"/>
  <c r="EK43" i="4" s="1"/>
  <c r="EJ42" i="4"/>
  <c r="EK42" i="4" s="1"/>
  <c r="EJ41" i="4"/>
  <c r="EK41" i="4" s="1"/>
  <c r="EJ40" i="4"/>
  <c r="EK40" i="4" s="1"/>
  <c r="EJ39" i="4"/>
  <c r="EK39" i="4" s="1"/>
  <c r="EJ38" i="4"/>
  <c r="EK38" i="4" s="1"/>
  <c r="EJ37" i="4"/>
  <c r="EK37" i="4" s="1"/>
  <c r="EJ36" i="4"/>
  <c r="EK36" i="4" s="1"/>
  <c r="EJ35" i="4"/>
  <c r="EK35" i="4" s="1"/>
  <c r="EJ34" i="4"/>
  <c r="EK34" i="4" s="1"/>
  <c r="EJ33" i="4"/>
  <c r="EK33" i="4" s="1"/>
  <c r="EJ32" i="4"/>
  <c r="EK32" i="4" s="1"/>
  <c r="EJ31" i="4"/>
  <c r="EK31" i="4" s="1"/>
  <c r="EJ30" i="4"/>
  <c r="EK30" i="4" s="1"/>
  <c r="EJ29" i="4"/>
  <c r="EK29" i="4" s="1"/>
  <c r="EJ28" i="4"/>
  <c r="EK28" i="4" s="1"/>
  <c r="EJ27" i="4"/>
  <c r="EK27" i="4" s="1"/>
  <c r="EJ26" i="4"/>
  <c r="EK26" i="4" s="1"/>
  <c r="EJ25" i="4"/>
  <c r="EK25" i="4" s="1"/>
  <c r="EJ24" i="4"/>
  <c r="EK24" i="4" s="1"/>
  <c r="EJ23" i="4"/>
  <c r="EK23" i="4" s="1"/>
  <c r="EJ22" i="4"/>
  <c r="EK22" i="4" s="1"/>
  <c r="EJ21" i="4"/>
  <c r="EK21" i="4" s="1"/>
  <c r="EJ20" i="4"/>
  <c r="EK20" i="4" s="1"/>
  <c r="EJ19" i="4"/>
  <c r="EK19" i="4" s="1"/>
  <c r="EJ18" i="4"/>
  <c r="EK18" i="4" s="1"/>
  <c r="EJ17" i="4"/>
  <c r="EK17" i="4" s="1"/>
  <c r="EJ16" i="4"/>
  <c r="EK16" i="4" s="1"/>
  <c r="EJ15" i="4"/>
  <c r="EK15" i="4" s="1"/>
  <c r="EJ14" i="4"/>
  <c r="EK14" i="4" s="1"/>
  <c r="EJ13" i="4"/>
  <c r="EK13" i="4" s="1"/>
  <c r="EJ12" i="4"/>
  <c r="AX23" i="4"/>
  <c r="GF23" i="4" s="1"/>
  <c r="AX22" i="4"/>
  <c r="GF22" i="4" s="1"/>
  <c r="DS71" i="4"/>
  <c r="DS70" i="4"/>
  <c r="DS69" i="4"/>
  <c r="DS68" i="4"/>
  <c r="DS67" i="4"/>
  <c r="DS66" i="4"/>
  <c r="DS65" i="4"/>
  <c r="DS64" i="4"/>
  <c r="DS63" i="4"/>
  <c r="DS62" i="4"/>
  <c r="DS61" i="4"/>
  <c r="DS60" i="4"/>
  <c r="DS59" i="4"/>
  <c r="DS58" i="4"/>
  <c r="DS57" i="4"/>
  <c r="DS56" i="4"/>
  <c r="DS55" i="4"/>
  <c r="DS54" i="4"/>
  <c r="DS53" i="4"/>
  <c r="DS52" i="4"/>
  <c r="DS51" i="4"/>
  <c r="DS50" i="4"/>
  <c r="DS49" i="4"/>
  <c r="DS48" i="4"/>
  <c r="DS47" i="4"/>
  <c r="DS46" i="4"/>
  <c r="DS45" i="4"/>
  <c r="DS44" i="4"/>
  <c r="DS43" i="4"/>
  <c r="DS42" i="4"/>
  <c r="DS41" i="4"/>
  <c r="DS40" i="4"/>
  <c r="DS39" i="4"/>
  <c r="DS38" i="4"/>
  <c r="DS37" i="4"/>
  <c r="DS36" i="4"/>
  <c r="DS35" i="4"/>
  <c r="DS34" i="4"/>
  <c r="DS33" i="4"/>
  <c r="DS32" i="4"/>
  <c r="DS31" i="4"/>
  <c r="DS30" i="4"/>
  <c r="DS29" i="4"/>
  <c r="DS28" i="4"/>
  <c r="DS27" i="4"/>
  <c r="DS26" i="4"/>
  <c r="DS25" i="4"/>
  <c r="DS24" i="4"/>
  <c r="DS23" i="4"/>
  <c r="DS22" i="4"/>
  <c r="DS21" i="4"/>
  <c r="DS20" i="4"/>
  <c r="DS19" i="4"/>
  <c r="DS18" i="4"/>
  <c r="DS17" i="4"/>
  <c r="DS16" i="4"/>
  <c r="DS15" i="4"/>
  <c r="DS14" i="4"/>
  <c r="DS13" i="4"/>
  <c r="DS12" i="4"/>
  <c r="DP23" i="4"/>
  <c r="DP22" i="4"/>
  <c r="DN23" i="4"/>
  <c r="DN22" i="4"/>
  <c r="DK23" i="4"/>
  <c r="DL23" i="4" s="1"/>
  <c r="DK22" i="4"/>
  <c r="DL22" i="4" s="1"/>
  <c r="AU23" i="4"/>
  <c r="AU22" i="4"/>
  <c r="AS23" i="4"/>
  <c r="AS22" i="4"/>
  <c r="AQ23" i="4"/>
  <c r="AQ22" i="4"/>
  <c r="AO23" i="4"/>
  <c r="AO22" i="4"/>
  <c r="EU22" i="4" l="1"/>
  <c r="EU72" i="4" s="1"/>
  <c r="EU42" i="4"/>
  <c r="EU62" i="4"/>
  <c r="EG21" i="4"/>
  <c r="EG20" i="4"/>
  <c r="EG19" i="4"/>
  <c r="EG18" i="4"/>
  <c r="EG17" i="4"/>
  <c r="EG16" i="4"/>
  <c r="EG23" i="4"/>
  <c r="EG22" i="4"/>
  <c r="GE23" i="4"/>
  <c r="GR23" i="4"/>
  <c r="GW23" i="4" s="1"/>
  <c r="GR22" i="4"/>
  <c r="GW22" i="4" s="1"/>
  <c r="GE22" i="4"/>
  <c r="EG15" i="4"/>
  <c r="EG14" i="4"/>
  <c r="DT23" i="4"/>
  <c r="DU23" i="4" s="1"/>
  <c r="DT22" i="4"/>
  <c r="DU22" i="4" s="1"/>
  <c r="EO12" i="4"/>
  <c r="EO22" i="4"/>
  <c r="EO42" i="4"/>
  <c r="EO52" i="4"/>
  <c r="EO62" i="4"/>
  <c r="EN75" i="4"/>
  <c r="EO32" i="4"/>
  <c r="FA12" i="4"/>
  <c r="FA44" i="4"/>
  <c r="FA76" i="4" l="1"/>
  <c r="BD11" i="4" s="1"/>
  <c r="EH14" i="4"/>
  <c r="EI14" i="4" s="1"/>
  <c r="EI15" i="4" s="1"/>
  <c r="EH16" i="4"/>
  <c r="EI16" i="4" s="1"/>
  <c r="EI17" i="4" s="1"/>
  <c r="EH18" i="4"/>
  <c r="EI18" i="4" s="1"/>
  <c r="EI19" i="4" s="1"/>
  <c r="EH20" i="4"/>
  <c r="EI20" i="4" s="1"/>
  <c r="EI21" i="4" s="1"/>
  <c r="EH22" i="4"/>
  <c r="EI22" i="4" s="1"/>
  <c r="EI23" i="4" s="1"/>
  <c r="BC11" i="4"/>
  <c r="EO72" i="4"/>
  <c r="BB11" i="4" s="1"/>
  <c r="F41" i="3" l="1"/>
  <c r="F40" i="3"/>
  <c r="F39" i="3"/>
  <c r="BJ14" i="4"/>
  <c r="FJ14" i="4" s="1"/>
  <c r="C4" i="8"/>
  <c r="DZ72" i="4"/>
  <c r="DZ75" i="4"/>
  <c r="DZ76" i="4"/>
  <c r="DZ77" i="4"/>
  <c r="DZ78" i="4"/>
  <c r="DZ79" i="4"/>
  <c r="DZ80" i="4"/>
  <c r="DZ81" i="4"/>
  <c r="DZ82" i="4"/>
  <c r="DZ83" i="4"/>
  <c r="DZ84" i="4"/>
  <c r="DZ85" i="4"/>
  <c r="DZ86" i="4"/>
  <c r="DZ87" i="4"/>
  <c r="DZ88" i="4"/>
  <c r="DZ89" i="4"/>
  <c r="DZ90" i="4"/>
  <c r="DZ91" i="4"/>
  <c r="DZ92" i="4"/>
  <c r="DZ93" i="4"/>
  <c r="DZ94" i="4"/>
  <c r="DZ95" i="4"/>
  <c r="DZ96" i="4"/>
  <c r="DZ97" i="4"/>
  <c r="DZ98" i="4"/>
  <c r="DZ99" i="4"/>
  <c r="DZ100" i="4"/>
  <c r="DZ101" i="4"/>
  <c r="DZ102" i="4"/>
  <c r="DZ103" i="4"/>
  <c r="DZ104" i="4"/>
  <c r="DZ105" i="4"/>
  <c r="DZ106" i="4"/>
  <c r="DZ107" i="4"/>
  <c r="DZ108" i="4"/>
  <c r="DZ109" i="4"/>
  <c r="DZ110" i="4"/>
  <c r="DZ111" i="4"/>
  <c r="DZ112" i="4"/>
  <c r="DZ113" i="4"/>
  <c r="DZ114" i="4"/>
  <c r="DZ115" i="4"/>
  <c r="DZ116" i="4"/>
  <c r="DZ117" i="4"/>
  <c r="DZ118" i="4"/>
  <c r="DZ119" i="4"/>
  <c r="DZ120" i="4"/>
  <c r="DZ121" i="4"/>
  <c r="DZ122" i="4"/>
  <c r="DZ123" i="4"/>
  <c r="DZ124" i="4"/>
  <c r="DZ125" i="4"/>
  <c r="DZ126" i="4"/>
  <c r="DZ127" i="4"/>
  <c r="DZ128" i="4"/>
  <c r="DZ129" i="4"/>
  <c r="DZ130" i="4"/>
  <c r="DZ131" i="4"/>
  <c r="DZ132" i="4"/>
  <c r="DZ133" i="4"/>
  <c r="DZ134" i="4"/>
  <c r="DZ135" i="4"/>
  <c r="DZ136" i="4"/>
  <c r="DZ137" i="4"/>
  <c r="DZ138" i="4"/>
  <c r="GG72" i="4" l="1"/>
  <c r="GD12" i="4"/>
  <c r="BJ9" i="4"/>
  <c r="BJ8" i="4"/>
  <c r="BJ7" i="4"/>
  <c r="AM7" i="4" s="1"/>
  <c r="BJ6" i="4"/>
  <c r="BJ5" i="4"/>
  <c r="EP71" i="4"/>
  <c r="EQ71" i="4" s="1"/>
  <c r="EV71" i="4"/>
  <c r="EW71" i="4" s="1"/>
  <c r="EP70" i="4"/>
  <c r="EQ70" i="4" s="1"/>
  <c r="EV70" i="4"/>
  <c r="EW70" i="4" s="1"/>
  <c r="EP69" i="4"/>
  <c r="EQ69" i="4" s="1"/>
  <c r="EV69" i="4"/>
  <c r="EW69" i="4" s="1"/>
  <c r="EP68" i="4"/>
  <c r="EQ68" i="4" s="1"/>
  <c r="EV68" i="4"/>
  <c r="EW68" i="4" s="1"/>
  <c r="EP67" i="4"/>
  <c r="EQ67" i="4" s="1"/>
  <c r="EV67" i="4"/>
  <c r="EW67" i="4" s="1"/>
  <c r="EP66" i="4"/>
  <c r="EQ66" i="4" s="1"/>
  <c r="EV66" i="4"/>
  <c r="EW66" i="4" s="1"/>
  <c r="EP65" i="4"/>
  <c r="EQ65" i="4" s="1"/>
  <c r="EV65" i="4"/>
  <c r="EW65" i="4" s="1"/>
  <c r="EP64" i="4"/>
  <c r="EQ64" i="4" s="1"/>
  <c r="EV64" i="4"/>
  <c r="EW64" i="4" s="1"/>
  <c r="EP63" i="4"/>
  <c r="EQ63" i="4" s="1"/>
  <c r="EV63" i="4"/>
  <c r="EW63" i="4" s="1"/>
  <c r="EP62" i="4"/>
  <c r="EQ62" i="4" s="1"/>
  <c r="EV62" i="4"/>
  <c r="EW62" i="4" s="1"/>
  <c r="EP61" i="4"/>
  <c r="EQ61" i="4" s="1"/>
  <c r="EV61" i="4"/>
  <c r="EW61" i="4" s="1"/>
  <c r="EP60" i="4"/>
  <c r="EQ60" i="4" s="1"/>
  <c r="EV60" i="4"/>
  <c r="EW60" i="4" s="1"/>
  <c r="EP59" i="4"/>
  <c r="EQ59" i="4" s="1"/>
  <c r="EV59" i="4"/>
  <c r="EW59" i="4" s="1"/>
  <c r="EP58" i="4"/>
  <c r="EQ58" i="4" s="1"/>
  <c r="EV58" i="4"/>
  <c r="EW58" i="4" s="1"/>
  <c r="EP57" i="4"/>
  <c r="EQ57" i="4" s="1"/>
  <c r="EV57" i="4"/>
  <c r="EW57" i="4" s="1"/>
  <c r="EP56" i="4"/>
  <c r="EQ56" i="4" s="1"/>
  <c r="EV56" i="4"/>
  <c r="EW56" i="4" s="1"/>
  <c r="EP55" i="4"/>
  <c r="EQ55" i="4" s="1"/>
  <c r="EV55" i="4"/>
  <c r="EW55" i="4" s="1"/>
  <c r="EP54" i="4"/>
  <c r="EQ54" i="4" s="1"/>
  <c r="EV54" i="4"/>
  <c r="EW54" i="4" s="1"/>
  <c r="EP53" i="4"/>
  <c r="EQ53" i="4" s="1"/>
  <c r="EV53" i="4"/>
  <c r="EW53" i="4" s="1"/>
  <c r="EP52" i="4"/>
  <c r="EQ52" i="4" s="1"/>
  <c r="EV52" i="4"/>
  <c r="EW52" i="4" s="1"/>
  <c r="EP51" i="4"/>
  <c r="EQ51" i="4" s="1"/>
  <c r="EV51" i="4"/>
  <c r="EW51" i="4" s="1"/>
  <c r="EP50" i="4"/>
  <c r="EQ50" i="4" s="1"/>
  <c r="EV50" i="4"/>
  <c r="EW50" i="4" s="1"/>
  <c r="EP49" i="4"/>
  <c r="EQ49" i="4" s="1"/>
  <c r="EV49" i="4"/>
  <c r="EW49" i="4" s="1"/>
  <c r="EP48" i="4"/>
  <c r="EQ48" i="4" s="1"/>
  <c r="EV48" i="4"/>
  <c r="EW48" i="4" s="1"/>
  <c r="EP47" i="4"/>
  <c r="EQ47" i="4" s="1"/>
  <c r="EV47" i="4"/>
  <c r="EW47" i="4" s="1"/>
  <c r="EP46" i="4"/>
  <c r="EQ46" i="4" s="1"/>
  <c r="EV46" i="4"/>
  <c r="EW46" i="4" s="1"/>
  <c r="EP45" i="4"/>
  <c r="EQ45" i="4" s="1"/>
  <c r="EV45" i="4"/>
  <c r="EW45" i="4" s="1"/>
  <c r="EP44" i="4"/>
  <c r="EQ44" i="4" s="1"/>
  <c r="EV44" i="4"/>
  <c r="EW44" i="4" s="1"/>
  <c r="EP43" i="4"/>
  <c r="EQ43" i="4" s="1"/>
  <c r="EV43" i="4"/>
  <c r="EW43" i="4" s="1"/>
  <c r="EP42" i="4"/>
  <c r="EQ42" i="4" s="1"/>
  <c r="EV42" i="4"/>
  <c r="EW42" i="4" s="1"/>
  <c r="EP41" i="4"/>
  <c r="EQ41" i="4" s="1"/>
  <c r="EV41" i="4"/>
  <c r="EW41" i="4" s="1"/>
  <c r="EP40" i="4"/>
  <c r="EQ40" i="4" s="1"/>
  <c r="EV40" i="4"/>
  <c r="EW40" i="4" s="1"/>
  <c r="EP39" i="4"/>
  <c r="EQ39" i="4" s="1"/>
  <c r="EV39" i="4"/>
  <c r="EW39" i="4" s="1"/>
  <c r="EP38" i="4"/>
  <c r="EQ38" i="4" s="1"/>
  <c r="EV38" i="4"/>
  <c r="EW38" i="4" s="1"/>
  <c r="EP37" i="4"/>
  <c r="EQ37" i="4" s="1"/>
  <c r="EV37" i="4"/>
  <c r="EW37" i="4" s="1"/>
  <c r="EP36" i="4"/>
  <c r="EQ36" i="4" s="1"/>
  <c r="EV36" i="4"/>
  <c r="EW36" i="4" s="1"/>
  <c r="EP35" i="4"/>
  <c r="EQ35" i="4" s="1"/>
  <c r="EV35" i="4"/>
  <c r="EW35" i="4" s="1"/>
  <c r="EP34" i="4"/>
  <c r="EQ34" i="4" s="1"/>
  <c r="EV34" i="4"/>
  <c r="EW34" i="4" s="1"/>
  <c r="EP33" i="4"/>
  <c r="EQ33" i="4" s="1"/>
  <c r="EV33" i="4"/>
  <c r="EW33" i="4" s="1"/>
  <c r="EP32" i="4"/>
  <c r="EQ32" i="4" s="1"/>
  <c r="EV32" i="4"/>
  <c r="EW32" i="4" s="1"/>
  <c r="EP31" i="4"/>
  <c r="EQ31" i="4" s="1"/>
  <c r="EV31" i="4"/>
  <c r="EW31" i="4" s="1"/>
  <c r="EP30" i="4"/>
  <c r="EQ30" i="4" s="1"/>
  <c r="EV30" i="4"/>
  <c r="EW30" i="4" s="1"/>
  <c r="EP29" i="4"/>
  <c r="EQ29" i="4" s="1"/>
  <c r="EV29" i="4"/>
  <c r="EW29" i="4" s="1"/>
  <c r="EP28" i="4"/>
  <c r="EQ28" i="4" s="1"/>
  <c r="EV28" i="4"/>
  <c r="EW28" i="4" s="1"/>
  <c r="EP27" i="4"/>
  <c r="EQ27" i="4" s="1"/>
  <c r="EV27" i="4"/>
  <c r="EW27" i="4" s="1"/>
  <c r="EP26" i="4"/>
  <c r="EQ26" i="4" s="1"/>
  <c r="EV26" i="4"/>
  <c r="EW26" i="4" s="1"/>
  <c r="EP25" i="4"/>
  <c r="EQ25" i="4" s="1"/>
  <c r="EV25" i="4"/>
  <c r="EW25" i="4" s="1"/>
  <c r="EP24" i="4"/>
  <c r="EQ24" i="4" s="1"/>
  <c r="EV24" i="4"/>
  <c r="EW24" i="4" s="1"/>
  <c r="EP23" i="4"/>
  <c r="EQ23" i="4" s="1"/>
  <c r="EV23" i="4"/>
  <c r="EW23" i="4" s="1"/>
  <c r="EP22" i="4"/>
  <c r="EQ22" i="4" s="1"/>
  <c r="EV22" i="4"/>
  <c r="EW22" i="4" s="1"/>
  <c r="EP21" i="4"/>
  <c r="EQ21" i="4" s="1"/>
  <c r="EV21" i="4"/>
  <c r="EW21" i="4" s="1"/>
  <c r="EP20" i="4"/>
  <c r="EQ20" i="4" s="1"/>
  <c r="EV20" i="4"/>
  <c r="EW20" i="4" s="1"/>
  <c r="EP19" i="4"/>
  <c r="EQ19" i="4" s="1"/>
  <c r="EV19" i="4"/>
  <c r="EW19" i="4" s="1"/>
  <c r="EP18" i="4"/>
  <c r="EQ18" i="4" s="1"/>
  <c r="EV18" i="4"/>
  <c r="EW18" i="4" s="1"/>
  <c r="EP17" i="4"/>
  <c r="EQ17" i="4" s="1"/>
  <c r="EV17" i="4"/>
  <c r="EW17" i="4" s="1"/>
  <c r="EP16" i="4"/>
  <c r="EQ16" i="4" s="1"/>
  <c r="EV16" i="4"/>
  <c r="EW16" i="4" s="1"/>
  <c r="EP15" i="4"/>
  <c r="EQ15" i="4" s="1"/>
  <c r="EV15" i="4"/>
  <c r="EW15" i="4" s="1"/>
  <c r="EP14" i="4"/>
  <c r="EQ14" i="4" s="1"/>
  <c r="EV14" i="4"/>
  <c r="EW14" i="4" s="1"/>
  <c r="EP13" i="4"/>
  <c r="EQ13" i="4" s="1"/>
  <c r="EV13" i="4"/>
  <c r="EW13" i="4" s="1"/>
  <c r="EP12" i="4"/>
  <c r="EV12" i="4"/>
  <c r="BK13" i="4"/>
  <c r="FA86" i="4" l="1"/>
  <c r="FA87" i="4"/>
  <c r="I8" i="4"/>
  <c r="AM8" i="4"/>
  <c r="I5" i="4"/>
  <c r="I9" i="4"/>
  <c r="AM9" i="4"/>
  <c r="I6" i="4"/>
  <c r="AM6" i="4"/>
  <c r="I7" i="4"/>
  <c r="EZ78" i="4"/>
  <c r="ET75" i="4"/>
  <c r="EO73" i="4" l="1"/>
  <c r="R41" i="3" l="1"/>
  <c r="N138" i="3" s="1"/>
  <c r="P138" i="3" s="1"/>
  <c r="FA77" i="4"/>
  <c r="F42" i="3"/>
  <c r="R42" i="3" s="1"/>
  <c r="BE10" i="4"/>
  <c r="BJ13" i="4"/>
  <c r="O10" i="4"/>
  <c r="N10" i="4"/>
  <c r="M10" i="4"/>
  <c r="L10" i="4"/>
  <c r="K10" i="4"/>
  <c r="J10" i="4"/>
  <c r="BP13" i="4"/>
  <c r="BQ13" i="4"/>
  <c r="BR13" i="4"/>
  <c r="BS13" i="4"/>
  <c r="BT13" i="4"/>
  <c r="BU13" i="4"/>
  <c r="BZ13" i="4"/>
  <c r="CA13" i="4"/>
  <c r="BP14" i="4"/>
  <c r="BQ14" i="4"/>
  <c r="BR14" i="4"/>
  <c r="BS14" i="4"/>
  <c r="BT14" i="4"/>
  <c r="BU14" i="4"/>
  <c r="CA14" i="4"/>
  <c r="BP15" i="4"/>
  <c r="BQ15" i="4"/>
  <c r="BR15" i="4"/>
  <c r="BS15" i="4"/>
  <c r="BT15" i="4"/>
  <c r="BU15" i="4"/>
  <c r="BZ15" i="4"/>
  <c r="CA15" i="4"/>
  <c r="BP16" i="4"/>
  <c r="BQ16" i="4"/>
  <c r="BR16" i="4"/>
  <c r="BS16" i="4"/>
  <c r="BT16" i="4"/>
  <c r="BU16" i="4"/>
  <c r="BZ16" i="4"/>
  <c r="CA16" i="4"/>
  <c r="BP17" i="4"/>
  <c r="BQ17" i="4"/>
  <c r="BR17" i="4"/>
  <c r="BS17" i="4"/>
  <c r="BT17" i="4"/>
  <c r="BU17" i="4"/>
  <c r="BZ17" i="4"/>
  <c r="CA17" i="4"/>
  <c r="BP18" i="4"/>
  <c r="BQ18" i="4"/>
  <c r="BR18" i="4"/>
  <c r="BS18" i="4"/>
  <c r="BT18" i="4"/>
  <c r="BU18" i="4"/>
  <c r="BZ18" i="4"/>
  <c r="CA18" i="4"/>
  <c r="BP19" i="4"/>
  <c r="BQ19" i="4"/>
  <c r="BR19" i="4"/>
  <c r="BS19" i="4"/>
  <c r="BT19" i="4"/>
  <c r="BU19" i="4"/>
  <c r="BZ19" i="4"/>
  <c r="CA19" i="4"/>
  <c r="BP20" i="4"/>
  <c r="BQ20" i="4"/>
  <c r="BR20" i="4"/>
  <c r="BS20" i="4"/>
  <c r="BT20" i="4"/>
  <c r="BU20" i="4"/>
  <c r="BZ20" i="4"/>
  <c r="CA20" i="4"/>
  <c r="BP21" i="4"/>
  <c r="BQ21" i="4"/>
  <c r="BR21" i="4"/>
  <c r="BS21" i="4"/>
  <c r="BT21" i="4"/>
  <c r="BU21" i="4"/>
  <c r="BZ21" i="4"/>
  <c r="CA21" i="4"/>
  <c r="BP22" i="4"/>
  <c r="BQ22" i="4"/>
  <c r="BR22" i="4"/>
  <c r="BS22" i="4"/>
  <c r="BT22" i="4"/>
  <c r="BU22" i="4"/>
  <c r="BZ22" i="4"/>
  <c r="CA22" i="4"/>
  <c r="BP23" i="4"/>
  <c r="BQ23" i="4"/>
  <c r="BR23" i="4"/>
  <c r="BS23" i="4"/>
  <c r="BT23" i="4"/>
  <c r="BU23" i="4"/>
  <c r="BZ23" i="4"/>
  <c r="CA23" i="4"/>
  <c r="BP24" i="4"/>
  <c r="BQ24" i="4"/>
  <c r="BR24" i="4"/>
  <c r="BS24" i="4"/>
  <c r="BT24" i="4"/>
  <c r="BU24" i="4"/>
  <c r="BZ24" i="4"/>
  <c r="CA24" i="4"/>
  <c r="BP25" i="4"/>
  <c r="BQ25" i="4"/>
  <c r="BR25" i="4"/>
  <c r="BS25" i="4"/>
  <c r="BT25" i="4"/>
  <c r="BU25" i="4"/>
  <c r="BZ25" i="4"/>
  <c r="CA25" i="4"/>
  <c r="BP26" i="4"/>
  <c r="BQ26" i="4"/>
  <c r="BR26" i="4"/>
  <c r="BS26" i="4"/>
  <c r="BT26" i="4"/>
  <c r="BU26" i="4"/>
  <c r="BZ26" i="4"/>
  <c r="CA26" i="4"/>
  <c r="BP27" i="4"/>
  <c r="BQ27" i="4"/>
  <c r="BR27" i="4"/>
  <c r="BS27" i="4"/>
  <c r="BT27" i="4"/>
  <c r="BU27" i="4"/>
  <c r="BZ27" i="4"/>
  <c r="CA27" i="4"/>
  <c r="BP28" i="4"/>
  <c r="BQ28" i="4"/>
  <c r="BR28" i="4"/>
  <c r="BS28" i="4"/>
  <c r="BT28" i="4"/>
  <c r="BU28" i="4"/>
  <c r="BZ28" i="4"/>
  <c r="CA28" i="4"/>
  <c r="BP29" i="4"/>
  <c r="BQ29" i="4"/>
  <c r="BR29" i="4"/>
  <c r="BS29" i="4"/>
  <c r="BT29" i="4"/>
  <c r="BU29" i="4"/>
  <c r="BZ29" i="4"/>
  <c r="CA29" i="4"/>
  <c r="BP30" i="4"/>
  <c r="BQ30" i="4"/>
  <c r="BR30" i="4"/>
  <c r="BS30" i="4"/>
  <c r="BT30" i="4"/>
  <c r="BU30" i="4"/>
  <c r="BZ30" i="4"/>
  <c r="CA30" i="4"/>
  <c r="BP31" i="4"/>
  <c r="BQ31" i="4"/>
  <c r="BR31" i="4"/>
  <c r="BS31" i="4"/>
  <c r="BT31" i="4"/>
  <c r="BU31" i="4"/>
  <c r="BZ31" i="4"/>
  <c r="CA31" i="4"/>
  <c r="BP32" i="4"/>
  <c r="BQ32" i="4"/>
  <c r="BR32" i="4"/>
  <c r="BS32" i="4"/>
  <c r="BT32" i="4"/>
  <c r="BU32" i="4"/>
  <c r="BZ32" i="4"/>
  <c r="CA32" i="4"/>
  <c r="BP33" i="4"/>
  <c r="BQ33" i="4"/>
  <c r="BR33" i="4"/>
  <c r="BS33" i="4"/>
  <c r="BT33" i="4"/>
  <c r="BU33" i="4"/>
  <c r="BZ33" i="4"/>
  <c r="CA33" i="4"/>
  <c r="BP34" i="4"/>
  <c r="BQ34" i="4"/>
  <c r="BR34" i="4"/>
  <c r="BS34" i="4"/>
  <c r="BT34" i="4"/>
  <c r="BU34" i="4"/>
  <c r="BZ34" i="4"/>
  <c r="CA34" i="4"/>
  <c r="BP35" i="4"/>
  <c r="BQ35" i="4"/>
  <c r="BR35" i="4"/>
  <c r="BS35" i="4"/>
  <c r="BT35" i="4"/>
  <c r="BU35" i="4"/>
  <c r="BZ35" i="4"/>
  <c r="CA35" i="4"/>
  <c r="BP36" i="4"/>
  <c r="BQ36" i="4"/>
  <c r="BR36" i="4"/>
  <c r="BS36" i="4"/>
  <c r="BT36" i="4"/>
  <c r="BU36" i="4"/>
  <c r="BZ36" i="4"/>
  <c r="CA36" i="4"/>
  <c r="BP37" i="4"/>
  <c r="BQ37" i="4"/>
  <c r="BR37" i="4"/>
  <c r="BS37" i="4"/>
  <c r="BT37" i="4"/>
  <c r="BU37" i="4"/>
  <c r="BZ37" i="4"/>
  <c r="CA37" i="4"/>
  <c r="BP38" i="4"/>
  <c r="BQ38" i="4"/>
  <c r="BR38" i="4"/>
  <c r="BS38" i="4"/>
  <c r="BT38" i="4"/>
  <c r="BU38" i="4"/>
  <c r="BZ38" i="4"/>
  <c r="CA38" i="4"/>
  <c r="BP39" i="4"/>
  <c r="BQ39" i="4"/>
  <c r="BR39" i="4"/>
  <c r="BS39" i="4"/>
  <c r="BT39" i="4"/>
  <c r="BU39" i="4"/>
  <c r="BZ39" i="4"/>
  <c r="CA39" i="4"/>
  <c r="BP40" i="4"/>
  <c r="BQ40" i="4"/>
  <c r="BR40" i="4"/>
  <c r="BS40" i="4"/>
  <c r="BT40" i="4"/>
  <c r="BU40" i="4"/>
  <c r="BZ40" i="4"/>
  <c r="CA40" i="4"/>
  <c r="BP41" i="4"/>
  <c r="BQ41" i="4"/>
  <c r="BR41" i="4"/>
  <c r="BS41" i="4"/>
  <c r="BT41" i="4"/>
  <c r="BU41" i="4"/>
  <c r="BZ41" i="4"/>
  <c r="CA41" i="4"/>
  <c r="BP42" i="4"/>
  <c r="BQ42" i="4"/>
  <c r="BR42" i="4"/>
  <c r="BS42" i="4"/>
  <c r="BT42" i="4"/>
  <c r="BU42" i="4"/>
  <c r="BZ42" i="4"/>
  <c r="CA42" i="4"/>
  <c r="BP43" i="4"/>
  <c r="BQ43" i="4"/>
  <c r="BR43" i="4"/>
  <c r="BS43" i="4"/>
  <c r="BT43" i="4"/>
  <c r="BU43" i="4"/>
  <c r="BZ43" i="4"/>
  <c r="CA43" i="4"/>
  <c r="BP44" i="4"/>
  <c r="BQ44" i="4"/>
  <c r="BR44" i="4"/>
  <c r="BS44" i="4"/>
  <c r="BT44" i="4"/>
  <c r="BU44" i="4"/>
  <c r="BZ44" i="4"/>
  <c r="CA44" i="4"/>
  <c r="BP45" i="4"/>
  <c r="BQ45" i="4"/>
  <c r="BR45" i="4"/>
  <c r="BS45" i="4"/>
  <c r="BT45" i="4"/>
  <c r="BU45" i="4"/>
  <c r="BZ45" i="4"/>
  <c r="CA45" i="4"/>
  <c r="BP46" i="4"/>
  <c r="BQ46" i="4"/>
  <c r="BR46" i="4"/>
  <c r="BS46" i="4"/>
  <c r="BT46" i="4"/>
  <c r="BU46" i="4"/>
  <c r="BZ46" i="4"/>
  <c r="CA46" i="4"/>
  <c r="BP47" i="4"/>
  <c r="BQ47" i="4"/>
  <c r="BR47" i="4"/>
  <c r="BS47" i="4"/>
  <c r="BT47" i="4"/>
  <c r="BU47" i="4"/>
  <c r="BZ47" i="4"/>
  <c r="CA47" i="4"/>
  <c r="BP48" i="4"/>
  <c r="BQ48" i="4"/>
  <c r="BR48" i="4"/>
  <c r="BS48" i="4"/>
  <c r="BT48" i="4"/>
  <c r="BU48" i="4"/>
  <c r="BZ48" i="4"/>
  <c r="CA48" i="4"/>
  <c r="BP49" i="4"/>
  <c r="BQ49" i="4"/>
  <c r="BR49" i="4"/>
  <c r="BS49" i="4"/>
  <c r="BT49" i="4"/>
  <c r="BU49" i="4"/>
  <c r="BZ49" i="4"/>
  <c r="CA49" i="4"/>
  <c r="BP50" i="4"/>
  <c r="BQ50" i="4"/>
  <c r="BR50" i="4"/>
  <c r="BS50" i="4"/>
  <c r="BT50" i="4"/>
  <c r="BU50" i="4"/>
  <c r="BZ50" i="4"/>
  <c r="CA50" i="4"/>
  <c r="BP51" i="4"/>
  <c r="BQ51" i="4"/>
  <c r="BR51" i="4"/>
  <c r="BS51" i="4"/>
  <c r="BT51" i="4"/>
  <c r="BU51" i="4"/>
  <c r="BZ51" i="4"/>
  <c r="CA51" i="4"/>
  <c r="BP52" i="4"/>
  <c r="BQ52" i="4"/>
  <c r="BR52" i="4"/>
  <c r="BS52" i="4"/>
  <c r="BT52" i="4"/>
  <c r="BU52" i="4"/>
  <c r="BZ52" i="4"/>
  <c r="CA52" i="4"/>
  <c r="BP53" i="4"/>
  <c r="BQ53" i="4"/>
  <c r="BR53" i="4"/>
  <c r="BS53" i="4"/>
  <c r="BT53" i="4"/>
  <c r="BU53" i="4"/>
  <c r="BZ53" i="4"/>
  <c r="CA53" i="4"/>
  <c r="BP54" i="4"/>
  <c r="BQ54" i="4"/>
  <c r="BR54" i="4"/>
  <c r="BS54" i="4"/>
  <c r="BT54" i="4"/>
  <c r="BU54" i="4"/>
  <c r="BZ54" i="4"/>
  <c r="CA54" i="4"/>
  <c r="BP55" i="4"/>
  <c r="BQ55" i="4"/>
  <c r="BR55" i="4"/>
  <c r="BS55" i="4"/>
  <c r="BT55" i="4"/>
  <c r="BU55" i="4"/>
  <c r="BZ55" i="4"/>
  <c r="CA55" i="4"/>
  <c r="BP56" i="4"/>
  <c r="BQ56" i="4"/>
  <c r="BR56" i="4"/>
  <c r="BS56" i="4"/>
  <c r="BT56" i="4"/>
  <c r="BU56" i="4"/>
  <c r="BZ56" i="4"/>
  <c r="CA56" i="4"/>
  <c r="BP57" i="4"/>
  <c r="BQ57" i="4"/>
  <c r="BR57" i="4"/>
  <c r="BS57" i="4"/>
  <c r="BT57" i="4"/>
  <c r="BU57" i="4"/>
  <c r="BZ57" i="4"/>
  <c r="CA57" i="4"/>
  <c r="BP58" i="4"/>
  <c r="BQ58" i="4"/>
  <c r="BR58" i="4"/>
  <c r="BS58" i="4"/>
  <c r="BT58" i="4"/>
  <c r="BU58" i="4"/>
  <c r="BZ58" i="4"/>
  <c r="CA58" i="4"/>
  <c r="BP59" i="4"/>
  <c r="BQ59" i="4"/>
  <c r="BR59" i="4"/>
  <c r="BS59" i="4"/>
  <c r="BT59" i="4"/>
  <c r="BU59" i="4"/>
  <c r="BZ59" i="4"/>
  <c r="CA59" i="4"/>
  <c r="BP60" i="4"/>
  <c r="BQ60" i="4"/>
  <c r="BR60" i="4"/>
  <c r="BS60" i="4"/>
  <c r="BT60" i="4"/>
  <c r="BU60" i="4"/>
  <c r="BZ60" i="4"/>
  <c r="CA60" i="4"/>
  <c r="BP61" i="4"/>
  <c r="BQ61" i="4"/>
  <c r="BR61" i="4"/>
  <c r="BS61" i="4"/>
  <c r="BT61" i="4"/>
  <c r="BU61" i="4"/>
  <c r="BZ61" i="4"/>
  <c r="CA61" i="4"/>
  <c r="BP62" i="4"/>
  <c r="BQ62" i="4"/>
  <c r="BR62" i="4"/>
  <c r="BS62" i="4"/>
  <c r="BT62" i="4"/>
  <c r="BU62" i="4"/>
  <c r="BZ62" i="4"/>
  <c r="CA62" i="4"/>
  <c r="BP63" i="4"/>
  <c r="BQ63" i="4"/>
  <c r="BR63" i="4"/>
  <c r="BS63" i="4"/>
  <c r="BT63" i="4"/>
  <c r="BU63" i="4"/>
  <c r="BZ63" i="4"/>
  <c r="CA63" i="4"/>
  <c r="BP64" i="4"/>
  <c r="BQ64" i="4"/>
  <c r="BR64" i="4"/>
  <c r="BS64" i="4"/>
  <c r="BT64" i="4"/>
  <c r="BU64" i="4"/>
  <c r="BZ64" i="4"/>
  <c r="CA64" i="4"/>
  <c r="BP65" i="4"/>
  <c r="BQ65" i="4"/>
  <c r="BR65" i="4"/>
  <c r="BS65" i="4"/>
  <c r="BT65" i="4"/>
  <c r="BU65" i="4"/>
  <c r="BZ65" i="4"/>
  <c r="CA65" i="4"/>
  <c r="BP66" i="4"/>
  <c r="BQ66" i="4"/>
  <c r="BR66" i="4"/>
  <c r="BS66" i="4"/>
  <c r="BT66" i="4"/>
  <c r="BU66" i="4"/>
  <c r="BZ66" i="4"/>
  <c r="CA66" i="4"/>
  <c r="BP67" i="4"/>
  <c r="BQ67" i="4"/>
  <c r="BR67" i="4"/>
  <c r="BS67" i="4"/>
  <c r="BT67" i="4"/>
  <c r="BU67" i="4"/>
  <c r="BZ67" i="4"/>
  <c r="CA67" i="4"/>
  <c r="BP68" i="4"/>
  <c r="BQ68" i="4"/>
  <c r="BR68" i="4"/>
  <c r="BS68" i="4"/>
  <c r="BT68" i="4"/>
  <c r="BU68" i="4"/>
  <c r="BZ68" i="4"/>
  <c r="CA68" i="4"/>
  <c r="BP69" i="4"/>
  <c r="BQ69" i="4"/>
  <c r="BR69" i="4"/>
  <c r="BS69" i="4"/>
  <c r="BT69" i="4"/>
  <c r="BU69" i="4"/>
  <c r="BZ69" i="4"/>
  <c r="CA69" i="4"/>
  <c r="BP70" i="4"/>
  <c r="BQ70" i="4"/>
  <c r="BR70" i="4"/>
  <c r="BS70" i="4"/>
  <c r="BT70" i="4"/>
  <c r="BU70" i="4"/>
  <c r="BZ70" i="4"/>
  <c r="CA70" i="4"/>
  <c r="BP71" i="4"/>
  <c r="BQ71" i="4"/>
  <c r="BR71" i="4"/>
  <c r="BS71" i="4"/>
  <c r="BT71" i="4"/>
  <c r="BU71" i="4"/>
  <c r="BZ71" i="4"/>
  <c r="CA71" i="4"/>
  <c r="CA12" i="4"/>
  <c r="BZ12" i="4"/>
  <c r="BU12" i="4"/>
  <c r="BT12" i="4"/>
  <c r="BS12" i="4"/>
  <c r="BR12" i="4"/>
  <c r="BQ12" i="4"/>
  <c r="Y54" i="3"/>
  <c r="Y1" i="3"/>
  <c r="D140" i="3" l="1"/>
  <c r="AM13" i="4"/>
  <c r="EF13" i="4" s="1"/>
  <c r="I13" i="4"/>
  <c r="DH13" i="4"/>
  <c r="E2" i="4"/>
  <c r="B2" i="4"/>
  <c r="V130" i="3"/>
  <c r="V129" i="3"/>
  <c r="V128" i="3"/>
  <c r="DK13" i="4" l="1"/>
  <c r="DL13" i="4" s="1"/>
  <c r="AO13" i="4"/>
  <c r="AS13" i="4"/>
  <c r="DN13" i="4"/>
  <c r="AQ13" i="4"/>
  <c r="AU13" i="4"/>
  <c r="DI13" i="4"/>
  <c r="FO13" i="4"/>
  <c r="FO14" i="4"/>
  <c r="FO15" i="4"/>
  <c r="FO16" i="4"/>
  <c r="FO17" i="4"/>
  <c r="FO18" i="4"/>
  <c r="FO19" i="4"/>
  <c r="FO20" i="4"/>
  <c r="FO21" i="4"/>
  <c r="FO22" i="4"/>
  <c r="FO23" i="4"/>
  <c r="FO24" i="4"/>
  <c r="FO25" i="4"/>
  <c r="FO26" i="4"/>
  <c r="FO27" i="4"/>
  <c r="FO28" i="4"/>
  <c r="FO29" i="4"/>
  <c r="FO30" i="4"/>
  <c r="FO31" i="4"/>
  <c r="FO32" i="4"/>
  <c r="FO33" i="4"/>
  <c r="FO34" i="4"/>
  <c r="FO35" i="4"/>
  <c r="FO36" i="4"/>
  <c r="FO37" i="4"/>
  <c r="FO38" i="4"/>
  <c r="FO39" i="4"/>
  <c r="FO40" i="4"/>
  <c r="FO41" i="4"/>
  <c r="FO42" i="4"/>
  <c r="FO43" i="4"/>
  <c r="FO44" i="4"/>
  <c r="FO45" i="4"/>
  <c r="FO46" i="4"/>
  <c r="FO47" i="4"/>
  <c r="FO48" i="4"/>
  <c r="FO49" i="4"/>
  <c r="FO50" i="4"/>
  <c r="FO51" i="4"/>
  <c r="FO52" i="4"/>
  <c r="FO53" i="4"/>
  <c r="FO54" i="4"/>
  <c r="FO55" i="4"/>
  <c r="FO56" i="4"/>
  <c r="FO57" i="4"/>
  <c r="FO58" i="4"/>
  <c r="FO59" i="4"/>
  <c r="FO60" i="4"/>
  <c r="FO61" i="4"/>
  <c r="FO62" i="4"/>
  <c r="FO63" i="4"/>
  <c r="FO64" i="4"/>
  <c r="FO65" i="4"/>
  <c r="FO66" i="4"/>
  <c r="FO67" i="4"/>
  <c r="FO68" i="4"/>
  <c r="FO69" i="4"/>
  <c r="FO70" i="4"/>
  <c r="FO71" i="4"/>
  <c r="CZ28" i="4"/>
  <c r="CZ29" i="4"/>
  <c r="CZ30" i="4"/>
  <c r="CZ31" i="4"/>
  <c r="CZ32" i="4"/>
  <c r="CZ33" i="4"/>
  <c r="CZ34" i="4"/>
  <c r="CZ35" i="4"/>
  <c r="CZ36" i="4"/>
  <c r="CZ37" i="4"/>
  <c r="CZ38" i="4"/>
  <c r="CZ39" i="4"/>
  <c r="CZ40" i="4"/>
  <c r="DA40" i="4" s="1"/>
  <c r="DB40" i="4" s="1"/>
  <c r="CZ41" i="4"/>
  <c r="DA41" i="4" s="1"/>
  <c r="DB41" i="4" s="1"/>
  <c r="CZ42" i="4"/>
  <c r="DA42" i="4" s="1"/>
  <c r="DB42" i="4" s="1"/>
  <c r="CZ43" i="4"/>
  <c r="DA43" i="4" s="1"/>
  <c r="DB43" i="4" s="1"/>
  <c r="CZ44" i="4"/>
  <c r="DA44" i="4" s="1"/>
  <c r="DB44" i="4" s="1"/>
  <c r="CZ45" i="4"/>
  <c r="DA45" i="4" s="1"/>
  <c r="DB45" i="4" s="1"/>
  <c r="CZ46" i="4"/>
  <c r="DA46" i="4" s="1"/>
  <c r="DB46" i="4" s="1"/>
  <c r="CZ47" i="4"/>
  <c r="DA47" i="4" s="1"/>
  <c r="DB47" i="4" s="1"/>
  <c r="CZ48" i="4"/>
  <c r="DA48" i="4" s="1"/>
  <c r="DB48" i="4" s="1"/>
  <c r="CZ49" i="4"/>
  <c r="DA49" i="4" s="1"/>
  <c r="DB49" i="4" s="1"/>
  <c r="CZ50" i="4"/>
  <c r="DA50" i="4" s="1"/>
  <c r="DB50" i="4" s="1"/>
  <c r="CZ51" i="4"/>
  <c r="DA51" i="4" s="1"/>
  <c r="DB51" i="4" s="1"/>
  <c r="CZ52" i="4"/>
  <c r="DA52" i="4" s="1"/>
  <c r="DB52" i="4" s="1"/>
  <c r="CZ53" i="4"/>
  <c r="DA53" i="4" s="1"/>
  <c r="DB53" i="4" s="1"/>
  <c r="CZ54" i="4"/>
  <c r="DA54" i="4" s="1"/>
  <c r="DB54" i="4" s="1"/>
  <c r="CZ55" i="4"/>
  <c r="DA55" i="4" s="1"/>
  <c r="DB55" i="4" s="1"/>
  <c r="CZ56" i="4"/>
  <c r="DA56" i="4" s="1"/>
  <c r="DB56" i="4" s="1"/>
  <c r="CZ57" i="4"/>
  <c r="DA57" i="4" s="1"/>
  <c r="DB57" i="4" s="1"/>
  <c r="CZ58" i="4"/>
  <c r="DA58" i="4" s="1"/>
  <c r="DB58" i="4" s="1"/>
  <c r="CZ59" i="4"/>
  <c r="DA59" i="4" s="1"/>
  <c r="DB59" i="4" s="1"/>
  <c r="CZ60" i="4"/>
  <c r="DA60" i="4" s="1"/>
  <c r="DB60" i="4" s="1"/>
  <c r="CZ61" i="4"/>
  <c r="DA61" i="4" s="1"/>
  <c r="DB61" i="4" s="1"/>
  <c r="CZ62" i="4"/>
  <c r="DA62" i="4" s="1"/>
  <c r="DB62" i="4" s="1"/>
  <c r="CZ63" i="4"/>
  <c r="DA63" i="4" s="1"/>
  <c r="DB63" i="4" s="1"/>
  <c r="CZ64" i="4"/>
  <c r="DA64" i="4" s="1"/>
  <c r="DB64" i="4" s="1"/>
  <c r="CZ65" i="4"/>
  <c r="DA65" i="4" s="1"/>
  <c r="DB65" i="4" s="1"/>
  <c r="CZ66" i="4"/>
  <c r="DA66" i="4" s="1"/>
  <c r="DB66" i="4" s="1"/>
  <c r="CZ67" i="4"/>
  <c r="DA67" i="4" s="1"/>
  <c r="DB67" i="4" s="1"/>
  <c r="CZ68" i="4"/>
  <c r="DA68" i="4" s="1"/>
  <c r="DB68" i="4" s="1"/>
  <c r="CZ69" i="4"/>
  <c r="DA69" i="4" s="1"/>
  <c r="DB69" i="4" s="1"/>
  <c r="CZ70" i="4"/>
  <c r="CZ71" i="4"/>
  <c r="CZ13" i="4"/>
  <c r="CZ14" i="4"/>
  <c r="CZ15" i="4"/>
  <c r="CZ16" i="4"/>
  <c r="CZ17" i="4"/>
  <c r="CZ18" i="4"/>
  <c r="CZ19" i="4"/>
  <c r="CZ20" i="4"/>
  <c r="CZ21" i="4"/>
  <c r="CZ22" i="4"/>
  <c r="CZ23" i="4"/>
  <c r="CZ24" i="4"/>
  <c r="CZ25" i="4"/>
  <c r="CZ26" i="4"/>
  <c r="CZ27" i="4"/>
  <c r="CR13" i="4"/>
  <c r="CS13" i="4" s="1"/>
  <c r="CT13" i="4"/>
  <c r="CU13" i="4" s="1"/>
  <c r="CV13" i="4"/>
  <c r="CW13" i="4" s="1"/>
  <c r="CR15" i="4"/>
  <c r="CS15" i="4" s="1"/>
  <c r="CT15" i="4"/>
  <c r="CU15" i="4" s="1"/>
  <c r="CX15" i="4"/>
  <c r="CY15" i="4" s="1"/>
  <c r="CR16" i="4"/>
  <c r="CS16" i="4" s="1"/>
  <c r="CT16" i="4"/>
  <c r="CU16" i="4" s="1"/>
  <c r="CV16" i="4"/>
  <c r="CW16" i="4" s="1"/>
  <c r="CX16" i="4"/>
  <c r="CY16" i="4" s="1"/>
  <c r="CR17" i="4"/>
  <c r="CS17" i="4" s="1"/>
  <c r="CT17" i="4"/>
  <c r="CU17" i="4" s="1"/>
  <c r="CV17" i="4"/>
  <c r="CW17" i="4" s="1"/>
  <c r="CX17" i="4"/>
  <c r="CY17" i="4" s="1"/>
  <c r="CT18" i="4"/>
  <c r="CU18" i="4" s="1"/>
  <c r="CV18" i="4"/>
  <c r="CW18" i="4" s="1"/>
  <c r="CX18" i="4"/>
  <c r="CY18" i="4" s="1"/>
  <c r="CR19" i="4"/>
  <c r="CS19" i="4" s="1"/>
  <c r="CT19" i="4"/>
  <c r="CU19" i="4" s="1"/>
  <c r="CV19" i="4"/>
  <c r="CW19" i="4" s="1"/>
  <c r="CR20" i="4"/>
  <c r="CS20" i="4" s="1"/>
  <c r="CV20" i="4"/>
  <c r="CW20" i="4" s="1"/>
  <c r="CX20" i="4"/>
  <c r="CY20" i="4" s="1"/>
  <c r="CR21" i="4"/>
  <c r="CS21" i="4" s="1"/>
  <c r="CT21" i="4"/>
  <c r="CU21" i="4" s="1"/>
  <c r="CV21" i="4"/>
  <c r="CW21" i="4" s="1"/>
  <c r="CX21" i="4"/>
  <c r="CY21" i="4" s="1"/>
  <c r="CT22" i="4"/>
  <c r="CU22" i="4" s="1"/>
  <c r="CV22" i="4"/>
  <c r="CW22" i="4" s="1"/>
  <c r="CR23" i="4"/>
  <c r="CS23" i="4" s="1"/>
  <c r="CT23" i="4"/>
  <c r="CU23" i="4" s="1"/>
  <c r="CV23" i="4"/>
  <c r="CW23" i="4" s="1"/>
  <c r="CX23" i="4"/>
  <c r="CY23" i="4" s="1"/>
  <c r="CR24" i="4"/>
  <c r="CS24" i="4" s="1"/>
  <c r="CT24" i="4"/>
  <c r="CU24" i="4" s="1"/>
  <c r="CV24" i="4"/>
  <c r="CW24" i="4" s="1"/>
  <c r="CX24" i="4"/>
  <c r="CY24" i="4" s="1"/>
  <c r="CP25" i="4"/>
  <c r="CQ25" i="4" s="1"/>
  <c r="CR25" i="4"/>
  <c r="CS25" i="4" s="1"/>
  <c r="CT25" i="4"/>
  <c r="CU25" i="4" s="1"/>
  <c r="CV25" i="4"/>
  <c r="CW25" i="4" s="1"/>
  <c r="CX25" i="4"/>
  <c r="CY25" i="4" s="1"/>
  <c r="CR26" i="4"/>
  <c r="CS26" i="4" s="1"/>
  <c r="CT26" i="4"/>
  <c r="CU26" i="4" s="1"/>
  <c r="CV26" i="4"/>
  <c r="CW26" i="4" s="1"/>
  <c r="CX26" i="4"/>
  <c r="CY26" i="4" s="1"/>
  <c r="CP27" i="4"/>
  <c r="CQ27" i="4" s="1"/>
  <c r="CX27" i="4"/>
  <c r="CY27" i="4" s="1"/>
  <c r="CR28" i="4"/>
  <c r="CS28" i="4" s="1"/>
  <c r="CT28" i="4"/>
  <c r="CU28" i="4" s="1"/>
  <c r="CV28" i="4"/>
  <c r="CW28" i="4" s="1"/>
  <c r="CX28" i="4"/>
  <c r="CY28" i="4" s="1"/>
  <c r="CP29" i="4"/>
  <c r="CQ29" i="4" s="1"/>
  <c r="CR29" i="4"/>
  <c r="CS29" i="4" s="1"/>
  <c r="CT29" i="4"/>
  <c r="CU29" i="4" s="1"/>
  <c r="CV29" i="4"/>
  <c r="CW29" i="4" s="1"/>
  <c r="CX29" i="4"/>
  <c r="CY29" i="4" s="1"/>
  <c r="CP30" i="4"/>
  <c r="CQ30" i="4" s="1"/>
  <c r="CR30" i="4"/>
  <c r="CS30" i="4" s="1"/>
  <c r="CT30" i="4"/>
  <c r="CU30" i="4" s="1"/>
  <c r="CV30" i="4"/>
  <c r="CW30" i="4" s="1"/>
  <c r="CX30" i="4"/>
  <c r="CY30" i="4" s="1"/>
  <c r="CP31" i="4"/>
  <c r="CQ31" i="4" s="1"/>
  <c r="CR31" i="4"/>
  <c r="CS31" i="4" s="1"/>
  <c r="CT31" i="4"/>
  <c r="CU31" i="4" s="1"/>
  <c r="CV31" i="4"/>
  <c r="CW31" i="4" s="1"/>
  <c r="CX31" i="4"/>
  <c r="CY31" i="4" s="1"/>
  <c r="CP32" i="4"/>
  <c r="CQ32" i="4" s="1"/>
  <c r="CR32" i="4"/>
  <c r="CS32" i="4" s="1"/>
  <c r="CT32" i="4"/>
  <c r="CU32" i="4" s="1"/>
  <c r="CV32" i="4"/>
  <c r="CW32" i="4" s="1"/>
  <c r="CX32" i="4"/>
  <c r="CY32" i="4" s="1"/>
  <c r="CP33" i="4"/>
  <c r="CQ33" i="4" s="1"/>
  <c r="CR33" i="4"/>
  <c r="CS33" i="4" s="1"/>
  <c r="CT33" i="4"/>
  <c r="CU33" i="4" s="1"/>
  <c r="CV33" i="4"/>
  <c r="CW33" i="4" s="1"/>
  <c r="CX33" i="4"/>
  <c r="CY33" i="4" s="1"/>
  <c r="CP34" i="4"/>
  <c r="CQ34" i="4" s="1"/>
  <c r="CR34" i="4"/>
  <c r="CS34" i="4" s="1"/>
  <c r="CT34" i="4"/>
  <c r="CU34" i="4" s="1"/>
  <c r="CV34" i="4"/>
  <c r="CW34" i="4" s="1"/>
  <c r="CX34" i="4"/>
  <c r="CY34" i="4" s="1"/>
  <c r="CP35" i="4"/>
  <c r="CQ35" i="4" s="1"/>
  <c r="CR35" i="4"/>
  <c r="CS35" i="4" s="1"/>
  <c r="CT35" i="4"/>
  <c r="CU35" i="4" s="1"/>
  <c r="CV35" i="4"/>
  <c r="CW35" i="4" s="1"/>
  <c r="CX35" i="4"/>
  <c r="CY35" i="4" s="1"/>
  <c r="CP36" i="4"/>
  <c r="CQ36" i="4" s="1"/>
  <c r="CR36" i="4"/>
  <c r="CS36" i="4" s="1"/>
  <c r="CT36" i="4"/>
  <c r="CU36" i="4" s="1"/>
  <c r="CV36" i="4"/>
  <c r="CW36" i="4" s="1"/>
  <c r="CX36" i="4"/>
  <c r="CY36" i="4" s="1"/>
  <c r="CP37" i="4"/>
  <c r="CQ37" i="4" s="1"/>
  <c r="CR37" i="4"/>
  <c r="CS37" i="4" s="1"/>
  <c r="CT37" i="4"/>
  <c r="CU37" i="4" s="1"/>
  <c r="CV37" i="4"/>
  <c r="CW37" i="4" s="1"/>
  <c r="CX37" i="4"/>
  <c r="CY37" i="4" s="1"/>
  <c r="CP38" i="4"/>
  <c r="CQ38" i="4" s="1"/>
  <c r="CR38" i="4"/>
  <c r="CS38" i="4" s="1"/>
  <c r="CT38" i="4"/>
  <c r="CU38" i="4" s="1"/>
  <c r="CV38" i="4"/>
  <c r="CW38" i="4" s="1"/>
  <c r="CX38" i="4"/>
  <c r="CY38" i="4" s="1"/>
  <c r="CP39" i="4"/>
  <c r="CQ39" i="4" s="1"/>
  <c r="CR39" i="4"/>
  <c r="CS39" i="4" s="1"/>
  <c r="CT39" i="4"/>
  <c r="CU39" i="4" s="1"/>
  <c r="CV39" i="4"/>
  <c r="CW39" i="4" s="1"/>
  <c r="CX39" i="4"/>
  <c r="CY39" i="4" s="1"/>
  <c r="CP40" i="4"/>
  <c r="CQ40" i="4" s="1"/>
  <c r="CR40" i="4"/>
  <c r="CS40" i="4" s="1"/>
  <c r="CT40" i="4"/>
  <c r="CU40" i="4" s="1"/>
  <c r="CV40" i="4"/>
  <c r="CW40" i="4" s="1"/>
  <c r="CX40" i="4"/>
  <c r="CY40" i="4" s="1"/>
  <c r="CP41" i="4"/>
  <c r="CQ41" i="4" s="1"/>
  <c r="CR41" i="4"/>
  <c r="CS41" i="4" s="1"/>
  <c r="CT41" i="4"/>
  <c r="CU41" i="4" s="1"/>
  <c r="CV41" i="4"/>
  <c r="CW41" i="4" s="1"/>
  <c r="CX41" i="4"/>
  <c r="CY41" i="4" s="1"/>
  <c r="CP42" i="4"/>
  <c r="CQ42" i="4" s="1"/>
  <c r="CR42" i="4"/>
  <c r="CS42" i="4" s="1"/>
  <c r="CT42" i="4"/>
  <c r="CU42" i="4" s="1"/>
  <c r="CV42" i="4"/>
  <c r="CW42" i="4" s="1"/>
  <c r="CX42" i="4"/>
  <c r="CY42" i="4" s="1"/>
  <c r="CP43" i="4"/>
  <c r="CQ43" i="4" s="1"/>
  <c r="CR43" i="4"/>
  <c r="CS43" i="4" s="1"/>
  <c r="CT43" i="4"/>
  <c r="CU43" i="4" s="1"/>
  <c r="CV43" i="4"/>
  <c r="CW43" i="4" s="1"/>
  <c r="CX43" i="4"/>
  <c r="CY43" i="4" s="1"/>
  <c r="CP44" i="4"/>
  <c r="CQ44" i="4" s="1"/>
  <c r="CR44" i="4"/>
  <c r="CS44" i="4" s="1"/>
  <c r="CT44" i="4"/>
  <c r="CU44" i="4" s="1"/>
  <c r="CV44" i="4"/>
  <c r="CW44" i="4" s="1"/>
  <c r="CX44" i="4"/>
  <c r="CY44" i="4" s="1"/>
  <c r="CP45" i="4"/>
  <c r="CQ45" i="4" s="1"/>
  <c r="CR45" i="4"/>
  <c r="CS45" i="4" s="1"/>
  <c r="CT45" i="4"/>
  <c r="CU45" i="4" s="1"/>
  <c r="CV45" i="4"/>
  <c r="CW45" i="4" s="1"/>
  <c r="CX45" i="4"/>
  <c r="CY45" i="4" s="1"/>
  <c r="CP46" i="4"/>
  <c r="CQ46" i="4" s="1"/>
  <c r="CR46" i="4"/>
  <c r="CS46" i="4" s="1"/>
  <c r="CT46" i="4"/>
  <c r="CU46" i="4" s="1"/>
  <c r="CV46" i="4"/>
  <c r="CW46" i="4" s="1"/>
  <c r="CX46" i="4"/>
  <c r="CY46" i="4" s="1"/>
  <c r="CP47" i="4"/>
  <c r="CQ47" i="4" s="1"/>
  <c r="CR47" i="4"/>
  <c r="CS47" i="4" s="1"/>
  <c r="CT47" i="4"/>
  <c r="CU47" i="4" s="1"/>
  <c r="CV47" i="4"/>
  <c r="CW47" i="4" s="1"/>
  <c r="CX47" i="4"/>
  <c r="CY47" i="4" s="1"/>
  <c r="CP48" i="4"/>
  <c r="CQ48" i="4" s="1"/>
  <c r="CR48" i="4"/>
  <c r="CS48" i="4" s="1"/>
  <c r="CT48" i="4"/>
  <c r="CU48" i="4" s="1"/>
  <c r="CV48" i="4"/>
  <c r="CW48" i="4" s="1"/>
  <c r="CX48" i="4"/>
  <c r="CY48" i="4" s="1"/>
  <c r="CP49" i="4"/>
  <c r="CQ49" i="4" s="1"/>
  <c r="CR49" i="4"/>
  <c r="CS49" i="4" s="1"/>
  <c r="CT49" i="4"/>
  <c r="CU49" i="4" s="1"/>
  <c r="CV49" i="4"/>
  <c r="CW49" i="4" s="1"/>
  <c r="CX49" i="4"/>
  <c r="CY49" i="4" s="1"/>
  <c r="CP50" i="4"/>
  <c r="CQ50" i="4" s="1"/>
  <c r="CR50" i="4"/>
  <c r="CS50" i="4" s="1"/>
  <c r="CT50" i="4"/>
  <c r="CU50" i="4" s="1"/>
  <c r="CV50" i="4"/>
  <c r="CW50" i="4" s="1"/>
  <c r="CX50" i="4"/>
  <c r="CY50" i="4" s="1"/>
  <c r="CP51" i="4"/>
  <c r="CQ51" i="4" s="1"/>
  <c r="CR51" i="4"/>
  <c r="CS51" i="4" s="1"/>
  <c r="CT51" i="4"/>
  <c r="CU51" i="4" s="1"/>
  <c r="CV51" i="4"/>
  <c r="CW51" i="4" s="1"/>
  <c r="CX51" i="4"/>
  <c r="CY51" i="4" s="1"/>
  <c r="CP52" i="4"/>
  <c r="CQ52" i="4" s="1"/>
  <c r="CR52" i="4"/>
  <c r="CS52" i="4" s="1"/>
  <c r="CT52" i="4"/>
  <c r="CU52" i="4" s="1"/>
  <c r="CV52" i="4"/>
  <c r="CW52" i="4" s="1"/>
  <c r="CX52" i="4"/>
  <c r="CY52" i="4" s="1"/>
  <c r="CP53" i="4"/>
  <c r="CQ53" i="4" s="1"/>
  <c r="CR53" i="4"/>
  <c r="CS53" i="4" s="1"/>
  <c r="CT53" i="4"/>
  <c r="CU53" i="4" s="1"/>
  <c r="CV53" i="4"/>
  <c r="CW53" i="4" s="1"/>
  <c r="CX53" i="4"/>
  <c r="CY53" i="4" s="1"/>
  <c r="CP54" i="4"/>
  <c r="CQ54" i="4" s="1"/>
  <c r="CR54" i="4"/>
  <c r="CS54" i="4" s="1"/>
  <c r="CT54" i="4"/>
  <c r="CU54" i="4" s="1"/>
  <c r="CV54" i="4"/>
  <c r="CW54" i="4" s="1"/>
  <c r="CX54" i="4"/>
  <c r="CY54" i="4" s="1"/>
  <c r="CP55" i="4"/>
  <c r="CQ55" i="4" s="1"/>
  <c r="CR55" i="4"/>
  <c r="CS55" i="4" s="1"/>
  <c r="CT55" i="4"/>
  <c r="CU55" i="4" s="1"/>
  <c r="CV55" i="4"/>
  <c r="CW55" i="4" s="1"/>
  <c r="CX55" i="4"/>
  <c r="CY55" i="4" s="1"/>
  <c r="CP56" i="4"/>
  <c r="CQ56" i="4" s="1"/>
  <c r="CR56" i="4"/>
  <c r="CS56" i="4" s="1"/>
  <c r="CT56" i="4"/>
  <c r="CU56" i="4" s="1"/>
  <c r="CV56" i="4"/>
  <c r="CW56" i="4" s="1"/>
  <c r="CX56" i="4"/>
  <c r="CY56" i="4" s="1"/>
  <c r="CP57" i="4"/>
  <c r="CQ57" i="4" s="1"/>
  <c r="CR57" i="4"/>
  <c r="CS57" i="4" s="1"/>
  <c r="CT57" i="4"/>
  <c r="CU57" i="4" s="1"/>
  <c r="CV57" i="4"/>
  <c r="CW57" i="4" s="1"/>
  <c r="CX57" i="4"/>
  <c r="CY57" i="4" s="1"/>
  <c r="CP58" i="4"/>
  <c r="CQ58" i="4" s="1"/>
  <c r="CR58" i="4"/>
  <c r="CS58" i="4" s="1"/>
  <c r="CT58" i="4"/>
  <c r="CU58" i="4" s="1"/>
  <c r="CV58" i="4"/>
  <c r="CW58" i="4" s="1"/>
  <c r="CX58" i="4"/>
  <c r="CY58" i="4" s="1"/>
  <c r="CP59" i="4"/>
  <c r="CQ59" i="4" s="1"/>
  <c r="CR59" i="4"/>
  <c r="CS59" i="4" s="1"/>
  <c r="CT59" i="4"/>
  <c r="CU59" i="4" s="1"/>
  <c r="CV59" i="4"/>
  <c r="CW59" i="4" s="1"/>
  <c r="CX59" i="4"/>
  <c r="CY59" i="4" s="1"/>
  <c r="CP60" i="4"/>
  <c r="CQ60" i="4" s="1"/>
  <c r="CR60" i="4"/>
  <c r="CS60" i="4" s="1"/>
  <c r="CT60" i="4"/>
  <c r="CU60" i="4" s="1"/>
  <c r="CV60" i="4"/>
  <c r="CW60" i="4" s="1"/>
  <c r="CX60" i="4"/>
  <c r="CY60" i="4" s="1"/>
  <c r="CP61" i="4"/>
  <c r="CQ61" i="4" s="1"/>
  <c r="CR61" i="4"/>
  <c r="CS61" i="4" s="1"/>
  <c r="CT61" i="4"/>
  <c r="CU61" i="4" s="1"/>
  <c r="CV61" i="4"/>
  <c r="CW61" i="4" s="1"/>
  <c r="CX61" i="4"/>
  <c r="CY61" i="4" s="1"/>
  <c r="CP62" i="4"/>
  <c r="CQ62" i="4" s="1"/>
  <c r="CR62" i="4"/>
  <c r="CS62" i="4" s="1"/>
  <c r="CT62" i="4"/>
  <c r="CU62" i="4" s="1"/>
  <c r="CV62" i="4"/>
  <c r="CW62" i="4" s="1"/>
  <c r="CX62" i="4"/>
  <c r="CY62" i="4" s="1"/>
  <c r="CP63" i="4"/>
  <c r="CQ63" i="4" s="1"/>
  <c r="CR63" i="4"/>
  <c r="CS63" i="4" s="1"/>
  <c r="CT63" i="4"/>
  <c r="CU63" i="4" s="1"/>
  <c r="CV63" i="4"/>
  <c r="CW63" i="4" s="1"/>
  <c r="CX63" i="4"/>
  <c r="CY63" i="4" s="1"/>
  <c r="CP64" i="4"/>
  <c r="CQ64" i="4" s="1"/>
  <c r="CR64" i="4"/>
  <c r="CS64" i="4" s="1"/>
  <c r="CT64" i="4"/>
  <c r="CU64" i="4" s="1"/>
  <c r="CV64" i="4"/>
  <c r="CW64" i="4" s="1"/>
  <c r="CX64" i="4"/>
  <c r="CY64" i="4" s="1"/>
  <c r="CP65" i="4"/>
  <c r="CQ65" i="4" s="1"/>
  <c r="CR65" i="4"/>
  <c r="CS65" i="4" s="1"/>
  <c r="CT65" i="4"/>
  <c r="CU65" i="4" s="1"/>
  <c r="CV65" i="4"/>
  <c r="CW65" i="4" s="1"/>
  <c r="CX65" i="4"/>
  <c r="CY65" i="4" s="1"/>
  <c r="CP66" i="4"/>
  <c r="CQ66" i="4" s="1"/>
  <c r="CR66" i="4"/>
  <c r="CS66" i="4" s="1"/>
  <c r="CT66" i="4"/>
  <c r="CU66" i="4" s="1"/>
  <c r="CV66" i="4"/>
  <c r="CW66" i="4" s="1"/>
  <c r="CX66" i="4"/>
  <c r="CY66" i="4" s="1"/>
  <c r="CP67" i="4"/>
  <c r="CQ67" i="4" s="1"/>
  <c r="CR67" i="4"/>
  <c r="CS67" i="4" s="1"/>
  <c r="CT67" i="4"/>
  <c r="CU67" i="4" s="1"/>
  <c r="CV67" i="4"/>
  <c r="CW67" i="4" s="1"/>
  <c r="CX67" i="4"/>
  <c r="CY67" i="4" s="1"/>
  <c r="CP68" i="4"/>
  <c r="CQ68" i="4" s="1"/>
  <c r="CR68" i="4"/>
  <c r="CS68" i="4" s="1"/>
  <c r="CT68" i="4"/>
  <c r="CU68" i="4" s="1"/>
  <c r="CV68" i="4"/>
  <c r="CW68" i="4" s="1"/>
  <c r="CX68" i="4"/>
  <c r="CY68" i="4" s="1"/>
  <c r="CP69" i="4"/>
  <c r="CQ69" i="4" s="1"/>
  <c r="CR69" i="4"/>
  <c r="CS69" i="4" s="1"/>
  <c r="CT69" i="4"/>
  <c r="CU69" i="4" s="1"/>
  <c r="CV69" i="4"/>
  <c r="CW69" i="4" s="1"/>
  <c r="CX69" i="4"/>
  <c r="CY69" i="4" s="1"/>
  <c r="CR70" i="4"/>
  <c r="CS70" i="4" s="1"/>
  <c r="CT70" i="4"/>
  <c r="CU70" i="4" s="1"/>
  <c r="CV70" i="4"/>
  <c r="CW70" i="4" s="1"/>
  <c r="CX70" i="4"/>
  <c r="CY70" i="4" s="1"/>
  <c r="CP71" i="4"/>
  <c r="CQ71" i="4" s="1"/>
  <c r="CR71" i="4"/>
  <c r="CS71" i="4" s="1"/>
  <c r="CT71" i="4"/>
  <c r="CU71" i="4" s="1"/>
  <c r="CV71" i="4"/>
  <c r="CW71" i="4" s="1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B13" i="4"/>
  <c r="CB14" i="4"/>
  <c r="CB15" i="4"/>
  <c r="CB16" i="4"/>
  <c r="CB17" i="4"/>
  <c r="CB18" i="4"/>
  <c r="CB19" i="4"/>
  <c r="CB20" i="4"/>
  <c r="CB21" i="4"/>
  <c r="CB22" i="4"/>
  <c r="CB23" i="4"/>
  <c r="CB24" i="4"/>
  <c r="CB25" i="4"/>
  <c r="CB26" i="4"/>
  <c r="CB27" i="4"/>
  <c r="CB28" i="4"/>
  <c r="CB29" i="4"/>
  <c r="CB30" i="4"/>
  <c r="CB31" i="4"/>
  <c r="CB32" i="4"/>
  <c r="CB33" i="4"/>
  <c r="CB34" i="4"/>
  <c r="CB35" i="4"/>
  <c r="CB36" i="4"/>
  <c r="CB37" i="4"/>
  <c r="CB38" i="4"/>
  <c r="CB39" i="4"/>
  <c r="CB40" i="4"/>
  <c r="CB41" i="4"/>
  <c r="CB42" i="4"/>
  <c r="CB43" i="4"/>
  <c r="CB44" i="4"/>
  <c r="CB45" i="4"/>
  <c r="CB46" i="4"/>
  <c r="CB47" i="4"/>
  <c r="CB48" i="4"/>
  <c r="CB49" i="4"/>
  <c r="CB50" i="4"/>
  <c r="CB51" i="4"/>
  <c r="CB52" i="4"/>
  <c r="CB53" i="4"/>
  <c r="CB54" i="4"/>
  <c r="CB55" i="4"/>
  <c r="CB56" i="4"/>
  <c r="CB57" i="4"/>
  <c r="CB58" i="4"/>
  <c r="CB59" i="4"/>
  <c r="CB60" i="4"/>
  <c r="CB61" i="4"/>
  <c r="CB62" i="4"/>
  <c r="CB63" i="4"/>
  <c r="CB64" i="4"/>
  <c r="CB65" i="4"/>
  <c r="CB66" i="4"/>
  <c r="CB67" i="4"/>
  <c r="CB68" i="4"/>
  <c r="CB69" i="4"/>
  <c r="CB70" i="4"/>
  <c r="CB71" i="4"/>
  <c r="AT63" i="8"/>
  <c r="AS63" i="8"/>
  <c r="AR63" i="8"/>
  <c r="AQ63" i="8"/>
  <c r="AP63" i="8"/>
  <c r="AN63" i="8"/>
  <c r="AM63" i="8"/>
  <c r="AK63" i="8"/>
  <c r="AI63" i="8"/>
  <c r="AG63" i="8"/>
  <c r="AE63" i="8"/>
  <c r="AC63" i="8"/>
  <c r="AB63" i="8"/>
  <c r="AA63" i="8"/>
  <c r="Z63" i="8"/>
  <c r="Y63" i="8"/>
  <c r="X63" i="8"/>
  <c r="W63" i="8"/>
  <c r="V63" i="8"/>
  <c r="U63" i="8"/>
  <c r="T63" i="8"/>
  <c r="S63" i="8"/>
  <c r="R63" i="8"/>
  <c r="Q63" i="8"/>
  <c r="P63" i="8"/>
  <c r="O63" i="8"/>
  <c r="N63" i="8"/>
  <c r="AT62" i="8"/>
  <c r="AS62" i="8"/>
  <c r="AR62" i="8"/>
  <c r="AQ62" i="8"/>
  <c r="AP62" i="8"/>
  <c r="AN62" i="8"/>
  <c r="AM62" i="8"/>
  <c r="AK62" i="8"/>
  <c r="AI62" i="8"/>
  <c r="AG62" i="8"/>
  <c r="AE62" i="8"/>
  <c r="AC62" i="8"/>
  <c r="AB62" i="8"/>
  <c r="AA62" i="8"/>
  <c r="Z62" i="8"/>
  <c r="Y62" i="8"/>
  <c r="X62" i="8"/>
  <c r="W62" i="8"/>
  <c r="V62" i="8"/>
  <c r="U62" i="8"/>
  <c r="T62" i="8"/>
  <c r="S62" i="8"/>
  <c r="R62" i="8"/>
  <c r="Q62" i="8"/>
  <c r="P62" i="8"/>
  <c r="O62" i="8"/>
  <c r="N62" i="8"/>
  <c r="AT61" i="8"/>
  <c r="AS61" i="8"/>
  <c r="AR61" i="8"/>
  <c r="AQ61" i="8"/>
  <c r="AP61" i="8"/>
  <c r="AN61" i="8"/>
  <c r="AM61" i="8"/>
  <c r="AK61" i="8"/>
  <c r="AI61" i="8"/>
  <c r="AG61" i="8"/>
  <c r="AE61" i="8"/>
  <c r="AC61" i="8"/>
  <c r="AB61" i="8"/>
  <c r="AA61" i="8"/>
  <c r="Z61" i="8"/>
  <c r="Y61" i="8"/>
  <c r="X61" i="8"/>
  <c r="W61" i="8"/>
  <c r="V61" i="8"/>
  <c r="U61" i="8"/>
  <c r="T61" i="8"/>
  <c r="S61" i="8"/>
  <c r="R61" i="8"/>
  <c r="Q61" i="8"/>
  <c r="P61" i="8"/>
  <c r="O61" i="8"/>
  <c r="N61" i="8"/>
  <c r="AT60" i="8"/>
  <c r="AS60" i="8"/>
  <c r="AR60" i="8"/>
  <c r="AQ60" i="8"/>
  <c r="AP60" i="8"/>
  <c r="AN60" i="8"/>
  <c r="AM60" i="8"/>
  <c r="AK60" i="8"/>
  <c r="AI60" i="8"/>
  <c r="AG60" i="8"/>
  <c r="AE60" i="8"/>
  <c r="AC60" i="8"/>
  <c r="AB60" i="8"/>
  <c r="AA60" i="8"/>
  <c r="Z60" i="8"/>
  <c r="Y60" i="8"/>
  <c r="X60" i="8"/>
  <c r="W60" i="8"/>
  <c r="V60" i="8"/>
  <c r="U60" i="8"/>
  <c r="T60" i="8"/>
  <c r="S60" i="8"/>
  <c r="R60" i="8"/>
  <c r="Q60" i="8"/>
  <c r="P60" i="8"/>
  <c r="O60" i="8"/>
  <c r="N60" i="8"/>
  <c r="AT59" i="8"/>
  <c r="AS59" i="8"/>
  <c r="AR59" i="8"/>
  <c r="AQ59" i="8"/>
  <c r="AP59" i="8"/>
  <c r="AN59" i="8"/>
  <c r="AM59" i="8"/>
  <c r="AK59" i="8"/>
  <c r="AI59" i="8"/>
  <c r="AG59" i="8"/>
  <c r="AE59" i="8"/>
  <c r="AC59" i="8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AT58" i="8"/>
  <c r="AS58" i="8"/>
  <c r="AR58" i="8"/>
  <c r="AQ58" i="8"/>
  <c r="AP58" i="8"/>
  <c r="AN58" i="8"/>
  <c r="AM58" i="8"/>
  <c r="AK58" i="8"/>
  <c r="AI58" i="8"/>
  <c r="AG58" i="8"/>
  <c r="AE58" i="8"/>
  <c r="AC58" i="8"/>
  <c r="AB58" i="8"/>
  <c r="AA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AT57" i="8"/>
  <c r="AS57" i="8"/>
  <c r="AR57" i="8"/>
  <c r="AQ57" i="8"/>
  <c r="AP57" i="8"/>
  <c r="AN57" i="8"/>
  <c r="AM57" i="8"/>
  <c r="AK57" i="8"/>
  <c r="AI57" i="8"/>
  <c r="AG57" i="8"/>
  <c r="AE57" i="8"/>
  <c r="AC57" i="8"/>
  <c r="AB57" i="8"/>
  <c r="AA57" i="8"/>
  <c r="Z57" i="8"/>
  <c r="Y57" i="8"/>
  <c r="X57" i="8"/>
  <c r="W57" i="8"/>
  <c r="V57" i="8"/>
  <c r="U57" i="8"/>
  <c r="T57" i="8"/>
  <c r="S57" i="8"/>
  <c r="R57" i="8"/>
  <c r="Q57" i="8"/>
  <c r="P57" i="8"/>
  <c r="O57" i="8"/>
  <c r="N57" i="8"/>
  <c r="AT56" i="8"/>
  <c r="AS56" i="8"/>
  <c r="AR56" i="8"/>
  <c r="AQ56" i="8"/>
  <c r="AP56" i="8"/>
  <c r="AN56" i="8"/>
  <c r="AM56" i="8"/>
  <c r="AK56" i="8"/>
  <c r="AI56" i="8"/>
  <c r="AG56" i="8"/>
  <c r="AE56" i="8"/>
  <c r="AC56" i="8"/>
  <c r="AB56" i="8"/>
  <c r="AA56" i="8"/>
  <c r="Z56" i="8"/>
  <c r="Y56" i="8"/>
  <c r="X56" i="8"/>
  <c r="W56" i="8"/>
  <c r="V56" i="8"/>
  <c r="U56" i="8"/>
  <c r="T56" i="8"/>
  <c r="S56" i="8"/>
  <c r="R56" i="8"/>
  <c r="Q56" i="8"/>
  <c r="P56" i="8"/>
  <c r="O56" i="8"/>
  <c r="N56" i="8"/>
  <c r="AT55" i="8"/>
  <c r="AS55" i="8"/>
  <c r="AR55" i="8"/>
  <c r="AQ55" i="8"/>
  <c r="AP55" i="8"/>
  <c r="AN55" i="8"/>
  <c r="AM55" i="8"/>
  <c r="AK55" i="8"/>
  <c r="AI55" i="8"/>
  <c r="AG55" i="8"/>
  <c r="AE55" i="8"/>
  <c r="AC55" i="8"/>
  <c r="AB55" i="8"/>
  <c r="AA55" i="8"/>
  <c r="Z55" i="8"/>
  <c r="Y55" i="8"/>
  <c r="X55" i="8"/>
  <c r="W55" i="8"/>
  <c r="V55" i="8"/>
  <c r="U55" i="8"/>
  <c r="T55" i="8"/>
  <c r="S55" i="8"/>
  <c r="R55" i="8"/>
  <c r="Q55" i="8"/>
  <c r="P55" i="8"/>
  <c r="O55" i="8"/>
  <c r="N55" i="8"/>
  <c r="AT54" i="8"/>
  <c r="AS54" i="8"/>
  <c r="AR54" i="8"/>
  <c r="AQ54" i="8"/>
  <c r="AP54" i="8"/>
  <c r="AN54" i="8"/>
  <c r="AM54" i="8"/>
  <c r="AK54" i="8"/>
  <c r="AI54" i="8"/>
  <c r="AG54" i="8"/>
  <c r="AE54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AT53" i="8"/>
  <c r="AS53" i="8"/>
  <c r="AR53" i="8"/>
  <c r="AQ53" i="8"/>
  <c r="AP53" i="8"/>
  <c r="AN53" i="8"/>
  <c r="AM53" i="8"/>
  <c r="AK53" i="8"/>
  <c r="AI53" i="8"/>
  <c r="AG53" i="8"/>
  <c r="AE53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AT52" i="8"/>
  <c r="AS52" i="8"/>
  <c r="AR52" i="8"/>
  <c r="AQ52" i="8"/>
  <c r="AP52" i="8"/>
  <c r="AN52" i="8"/>
  <c r="AM52" i="8"/>
  <c r="AK52" i="8"/>
  <c r="AI52" i="8"/>
  <c r="AG52" i="8"/>
  <c r="AE52" i="8"/>
  <c r="AC52" i="8"/>
  <c r="AB52" i="8"/>
  <c r="AA52" i="8"/>
  <c r="Z52" i="8"/>
  <c r="Y52" i="8"/>
  <c r="X52" i="8"/>
  <c r="W52" i="8"/>
  <c r="V52" i="8"/>
  <c r="U52" i="8"/>
  <c r="T52" i="8"/>
  <c r="S52" i="8"/>
  <c r="R52" i="8"/>
  <c r="Q52" i="8"/>
  <c r="P52" i="8"/>
  <c r="O52" i="8"/>
  <c r="N52" i="8"/>
  <c r="AT51" i="8"/>
  <c r="AS51" i="8"/>
  <c r="AR51" i="8"/>
  <c r="AQ51" i="8"/>
  <c r="AP51" i="8"/>
  <c r="AN51" i="8"/>
  <c r="AM51" i="8"/>
  <c r="AK51" i="8"/>
  <c r="AI51" i="8"/>
  <c r="AG51" i="8"/>
  <c r="AE51" i="8"/>
  <c r="AC51" i="8"/>
  <c r="AB51" i="8"/>
  <c r="AA51" i="8"/>
  <c r="Z51" i="8"/>
  <c r="Y51" i="8"/>
  <c r="X51" i="8"/>
  <c r="W51" i="8"/>
  <c r="V51" i="8"/>
  <c r="U51" i="8"/>
  <c r="T51" i="8"/>
  <c r="S51" i="8"/>
  <c r="R51" i="8"/>
  <c r="Q51" i="8"/>
  <c r="P51" i="8"/>
  <c r="O51" i="8"/>
  <c r="N51" i="8"/>
  <c r="AT50" i="8"/>
  <c r="AS50" i="8"/>
  <c r="AR50" i="8"/>
  <c r="AQ50" i="8"/>
  <c r="AP50" i="8"/>
  <c r="AN50" i="8"/>
  <c r="AM50" i="8"/>
  <c r="AK50" i="8"/>
  <c r="AI50" i="8"/>
  <c r="AG50" i="8"/>
  <c r="AE50" i="8"/>
  <c r="AC50" i="8"/>
  <c r="AB50" i="8"/>
  <c r="AA50" i="8"/>
  <c r="Z50" i="8"/>
  <c r="Y50" i="8"/>
  <c r="X50" i="8"/>
  <c r="W50" i="8"/>
  <c r="V50" i="8"/>
  <c r="U50" i="8"/>
  <c r="T50" i="8"/>
  <c r="S50" i="8"/>
  <c r="R50" i="8"/>
  <c r="Q50" i="8"/>
  <c r="P50" i="8"/>
  <c r="O50" i="8"/>
  <c r="N50" i="8"/>
  <c r="AT49" i="8"/>
  <c r="AS49" i="8"/>
  <c r="AR49" i="8"/>
  <c r="AQ49" i="8"/>
  <c r="AP49" i="8"/>
  <c r="AN49" i="8"/>
  <c r="AM49" i="8"/>
  <c r="AK49" i="8"/>
  <c r="AI49" i="8"/>
  <c r="AG49" i="8"/>
  <c r="AE49" i="8"/>
  <c r="AC49" i="8"/>
  <c r="AB49" i="8"/>
  <c r="AA49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AT48" i="8"/>
  <c r="AS48" i="8"/>
  <c r="AR48" i="8"/>
  <c r="AQ48" i="8"/>
  <c r="AP48" i="8"/>
  <c r="AN48" i="8"/>
  <c r="AM48" i="8"/>
  <c r="AK48" i="8"/>
  <c r="AI48" i="8"/>
  <c r="AG48" i="8"/>
  <c r="AE48" i="8"/>
  <c r="AC48" i="8"/>
  <c r="AB48" i="8"/>
  <c r="AA48" i="8"/>
  <c r="Z48" i="8"/>
  <c r="Y48" i="8"/>
  <c r="X48" i="8"/>
  <c r="W48" i="8"/>
  <c r="V48" i="8"/>
  <c r="U48" i="8"/>
  <c r="T48" i="8"/>
  <c r="S48" i="8"/>
  <c r="R48" i="8"/>
  <c r="Q48" i="8"/>
  <c r="P48" i="8"/>
  <c r="O48" i="8"/>
  <c r="N48" i="8"/>
  <c r="AT47" i="8"/>
  <c r="AS47" i="8"/>
  <c r="AR47" i="8"/>
  <c r="AQ47" i="8"/>
  <c r="AP47" i="8"/>
  <c r="AN47" i="8"/>
  <c r="AM47" i="8"/>
  <c r="AK47" i="8"/>
  <c r="AI47" i="8"/>
  <c r="AG47" i="8"/>
  <c r="AE47" i="8"/>
  <c r="AC47" i="8"/>
  <c r="AB47" i="8"/>
  <c r="AA47" i="8"/>
  <c r="Z47" i="8"/>
  <c r="Y47" i="8"/>
  <c r="X47" i="8"/>
  <c r="W47" i="8"/>
  <c r="V47" i="8"/>
  <c r="U47" i="8"/>
  <c r="T47" i="8"/>
  <c r="S47" i="8"/>
  <c r="R47" i="8"/>
  <c r="Q47" i="8"/>
  <c r="P47" i="8"/>
  <c r="O47" i="8"/>
  <c r="N47" i="8"/>
  <c r="AT46" i="8"/>
  <c r="AS46" i="8"/>
  <c r="AR46" i="8"/>
  <c r="AQ46" i="8"/>
  <c r="AP46" i="8"/>
  <c r="AN46" i="8"/>
  <c r="AM46" i="8"/>
  <c r="AK46" i="8"/>
  <c r="AI46" i="8"/>
  <c r="AG46" i="8"/>
  <c r="AE46" i="8"/>
  <c r="AC46" i="8"/>
  <c r="AB46" i="8"/>
  <c r="AA46" i="8"/>
  <c r="Z46" i="8"/>
  <c r="Y46" i="8"/>
  <c r="X46" i="8"/>
  <c r="W46" i="8"/>
  <c r="V46" i="8"/>
  <c r="U46" i="8"/>
  <c r="T46" i="8"/>
  <c r="S46" i="8"/>
  <c r="R46" i="8"/>
  <c r="Q46" i="8"/>
  <c r="P46" i="8"/>
  <c r="O46" i="8"/>
  <c r="N46" i="8"/>
  <c r="AT45" i="8"/>
  <c r="AS45" i="8"/>
  <c r="AR45" i="8"/>
  <c r="AQ45" i="8"/>
  <c r="AP45" i="8"/>
  <c r="AN45" i="8"/>
  <c r="AM45" i="8"/>
  <c r="AK45" i="8"/>
  <c r="AI45" i="8"/>
  <c r="AG45" i="8"/>
  <c r="AE45" i="8"/>
  <c r="AC45" i="8"/>
  <c r="AB45" i="8"/>
  <c r="AA45" i="8"/>
  <c r="Z45" i="8"/>
  <c r="Y45" i="8"/>
  <c r="X45" i="8"/>
  <c r="W45" i="8"/>
  <c r="V45" i="8"/>
  <c r="U45" i="8"/>
  <c r="T45" i="8"/>
  <c r="S45" i="8"/>
  <c r="R45" i="8"/>
  <c r="Q45" i="8"/>
  <c r="P45" i="8"/>
  <c r="O45" i="8"/>
  <c r="N45" i="8"/>
  <c r="AT44" i="8"/>
  <c r="AS44" i="8"/>
  <c r="AR44" i="8"/>
  <c r="AQ44" i="8"/>
  <c r="AP44" i="8"/>
  <c r="AN44" i="8"/>
  <c r="AM44" i="8"/>
  <c r="AK44" i="8"/>
  <c r="AI44" i="8"/>
  <c r="AG44" i="8"/>
  <c r="AE44" i="8"/>
  <c r="AC44" i="8"/>
  <c r="AB44" i="8"/>
  <c r="AA44" i="8"/>
  <c r="Z44" i="8"/>
  <c r="Y44" i="8"/>
  <c r="X44" i="8"/>
  <c r="W44" i="8"/>
  <c r="V44" i="8"/>
  <c r="U44" i="8"/>
  <c r="T44" i="8"/>
  <c r="S44" i="8"/>
  <c r="R44" i="8"/>
  <c r="Q44" i="8"/>
  <c r="P44" i="8"/>
  <c r="O44" i="8"/>
  <c r="N44" i="8"/>
  <c r="AT43" i="8"/>
  <c r="AS43" i="8"/>
  <c r="AR43" i="8"/>
  <c r="AQ43" i="8"/>
  <c r="AP43" i="8"/>
  <c r="AN43" i="8"/>
  <c r="AM43" i="8"/>
  <c r="AK43" i="8"/>
  <c r="AI43" i="8"/>
  <c r="AG43" i="8"/>
  <c r="AE43" i="8"/>
  <c r="AC43" i="8"/>
  <c r="AB43" i="8"/>
  <c r="AA43" i="8"/>
  <c r="Z43" i="8"/>
  <c r="Y43" i="8"/>
  <c r="X43" i="8"/>
  <c r="W43" i="8"/>
  <c r="V43" i="8"/>
  <c r="U43" i="8"/>
  <c r="T43" i="8"/>
  <c r="S43" i="8"/>
  <c r="R43" i="8"/>
  <c r="Q43" i="8"/>
  <c r="P43" i="8"/>
  <c r="O43" i="8"/>
  <c r="N43" i="8"/>
  <c r="AT42" i="8"/>
  <c r="AS42" i="8"/>
  <c r="AR42" i="8"/>
  <c r="AQ42" i="8"/>
  <c r="AP42" i="8"/>
  <c r="AN42" i="8"/>
  <c r="AM42" i="8"/>
  <c r="AK42" i="8"/>
  <c r="AI42" i="8"/>
  <c r="AG42" i="8"/>
  <c r="AE42" i="8"/>
  <c r="AC42" i="8"/>
  <c r="AB42" i="8"/>
  <c r="AA42" i="8"/>
  <c r="Z42" i="8"/>
  <c r="Y42" i="8"/>
  <c r="X42" i="8"/>
  <c r="W42" i="8"/>
  <c r="V42" i="8"/>
  <c r="U42" i="8"/>
  <c r="T42" i="8"/>
  <c r="S42" i="8"/>
  <c r="R42" i="8"/>
  <c r="Q42" i="8"/>
  <c r="P42" i="8"/>
  <c r="O42" i="8"/>
  <c r="N42" i="8"/>
  <c r="AT41" i="8"/>
  <c r="AS41" i="8"/>
  <c r="AR41" i="8"/>
  <c r="AQ41" i="8"/>
  <c r="AP41" i="8"/>
  <c r="AN41" i="8"/>
  <c r="AM41" i="8"/>
  <c r="AK41" i="8"/>
  <c r="AI41" i="8"/>
  <c r="AG41" i="8"/>
  <c r="AE41" i="8"/>
  <c r="AC41" i="8"/>
  <c r="AB41" i="8"/>
  <c r="AA41" i="8"/>
  <c r="Z41" i="8"/>
  <c r="Y41" i="8"/>
  <c r="X41" i="8"/>
  <c r="W41" i="8"/>
  <c r="V41" i="8"/>
  <c r="U41" i="8"/>
  <c r="T41" i="8"/>
  <c r="S41" i="8"/>
  <c r="R41" i="8"/>
  <c r="Q41" i="8"/>
  <c r="P41" i="8"/>
  <c r="O41" i="8"/>
  <c r="N41" i="8"/>
  <c r="AT40" i="8"/>
  <c r="AS40" i="8"/>
  <c r="AR40" i="8"/>
  <c r="AQ40" i="8"/>
  <c r="AP40" i="8"/>
  <c r="AN40" i="8"/>
  <c r="AM40" i="8"/>
  <c r="AK40" i="8"/>
  <c r="AI40" i="8"/>
  <c r="AG40" i="8"/>
  <c r="AE40" i="8"/>
  <c r="AC40" i="8"/>
  <c r="AB40" i="8"/>
  <c r="AA40" i="8"/>
  <c r="Z40" i="8"/>
  <c r="Y40" i="8"/>
  <c r="X40" i="8"/>
  <c r="W40" i="8"/>
  <c r="V40" i="8"/>
  <c r="U40" i="8"/>
  <c r="T40" i="8"/>
  <c r="S40" i="8"/>
  <c r="R40" i="8"/>
  <c r="Q40" i="8"/>
  <c r="P40" i="8"/>
  <c r="O40" i="8"/>
  <c r="N40" i="8"/>
  <c r="AT39" i="8"/>
  <c r="AS39" i="8"/>
  <c r="AR39" i="8"/>
  <c r="AQ39" i="8"/>
  <c r="AP39" i="8"/>
  <c r="AN39" i="8"/>
  <c r="AM39" i="8"/>
  <c r="AK39" i="8"/>
  <c r="AI39" i="8"/>
  <c r="AG39" i="8"/>
  <c r="AE39" i="8"/>
  <c r="AC39" i="8"/>
  <c r="AB39" i="8"/>
  <c r="AA39" i="8"/>
  <c r="Z39" i="8"/>
  <c r="Y39" i="8"/>
  <c r="X39" i="8"/>
  <c r="W39" i="8"/>
  <c r="V39" i="8"/>
  <c r="U39" i="8"/>
  <c r="T39" i="8"/>
  <c r="S39" i="8"/>
  <c r="R39" i="8"/>
  <c r="Q39" i="8"/>
  <c r="P39" i="8"/>
  <c r="O39" i="8"/>
  <c r="N39" i="8"/>
  <c r="AT38" i="8"/>
  <c r="AS38" i="8"/>
  <c r="AR38" i="8"/>
  <c r="AQ38" i="8"/>
  <c r="AP38" i="8"/>
  <c r="AN38" i="8"/>
  <c r="AM38" i="8"/>
  <c r="AK38" i="8"/>
  <c r="AI38" i="8"/>
  <c r="AG38" i="8"/>
  <c r="AE38" i="8"/>
  <c r="AC38" i="8"/>
  <c r="AB38" i="8"/>
  <c r="AA38" i="8"/>
  <c r="Z38" i="8"/>
  <c r="Y38" i="8"/>
  <c r="X38" i="8"/>
  <c r="W38" i="8"/>
  <c r="V38" i="8"/>
  <c r="U38" i="8"/>
  <c r="T38" i="8"/>
  <c r="S38" i="8"/>
  <c r="R38" i="8"/>
  <c r="Q38" i="8"/>
  <c r="P38" i="8"/>
  <c r="O38" i="8"/>
  <c r="N38" i="8"/>
  <c r="AT37" i="8"/>
  <c r="AS37" i="8"/>
  <c r="AR37" i="8"/>
  <c r="AQ37" i="8"/>
  <c r="AP37" i="8"/>
  <c r="AN37" i="8"/>
  <c r="AM37" i="8"/>
  <c r="AK37" i="8"/>
  <c r="AI37" i="8"/>
  <c r="AG37" i="8"/>
  <c r="AE37" i="8"/>
  <c r="AC37" i="8"/>
  <c r="AB37" i="8"/>
  <c r="AA37" i="8"/>
  <c r="Z37" i="8"/>
  <c r="Y37" i="8"/>
  <c r="X37" i="8"/>
  <c r="W37" i="8"/>
  <c r="V37" i="8"/>
  <c r="U37" i="8"/>
  <c r="T37" i="8"/>
  <c r="S37" i="8"/>
  <c r="R37" i="8"/>
  <c r="Q37" i="8"/>
  <c r="P37" i="8"/>
  <c r="O37" i="8"/>
  <c r="N37" i="8"/>
  <c r="AT36" i="8"/>
  <c r="AS36" i="8"/>
  <c r="AR36" i="8"/>
  <c r="AQ36" i="8"/>
  <c r="AP36" i="8"/>
  <c r="AN36" i="8"/>
  <c r="AM36" i="8"/>
  <c r="AK36" i="8"/>
  <c r="AI36" i="8"/>
  <c r="AG36" i="8"/>
  <c r="AE36" i="8"/>
  <c r="AC36" i="8"/>
  <c r="AB36" i="8"/>
  <c r="AA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AT35" i="8"/>
  <c r="AS35" i="8"/>
  <c r="AR35" i="8"/>
  <c r="AQ35" i="8"/>
  <c r="AP35" i="8"/>
  <c r="AN35" i="8"/>
  <c r="AM35" i="8"/>
  <c r="AK35" i="8"/>
  <c r="AI35" i="8"/>
  <c r="AG35" i="8"/>
  <c r="AE35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P35" i="8"/>
  <c r="O35" i="8"/>
  <c r="N35" i="8"/>
  <c r="AT34" i="8"/>
  <c r="AS34" i="8"/>
  <c r="AR34" i="8"/>
  <c r="AQ34" i="8"/>
  <c r="AP34" i="8"/>
  <c r="AN34" i="8"/>
  <c r="AM34" i="8"/>
  <c r="AK34" i="8"/>
  <c r="AI34" i="8"/>
  <c r="AG34" i="8"/>
  <c r="AE34" i="8"/>
  <c r="AC34" i="8"/>
  <c r="AB34" i="8"/>
  <c r="AA34" i="8"/>
  <c r="Z34" i="8"/>
  <c r="Y34" i="8"/>
  <c r="X34" i="8"/>
  <c r="W34" i="8"/>
  <c r="V34" i="8"/>
  <c r="U34" i="8"/>
  <c r="T34" i="8"/>
  <c r="S34" i="8"/>
  <c r="R34" i="8"/>
  <c r="Q34" i="8"/>
  <c r="P34" i="8"/>
  <c r="O34" i="8"/>
  <c r="N34" i="8"/>
  <c r="AT33" i="8"/>
  <c r="AS33" i="8"/>
  <c r="AR33" i="8"/>
  <c r="AQ33" i="8"/>
  <c r="AP33" i="8"/>
  <c r="AN33" i="8"/>
  <c r="AM33" i="8"/>
  <c r="AK33" i="8"/>
  <c r="AI33" i="8"/>
  <c r="AG33" i="8"/>
  <c r="AE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AT32" i="8"/>
  <c r="AS32" i="8"/>
  <c r="AR32" i="8"/>
  <c r="AQ32" i="8"/>
  <c r="AP32" i="8"/>
  <c r="AN32" i="8"/>
  <c r="AM32" i="8"/>
  <c r="AK32" i="8"/>
  <c r="AI32" i="8"/>
  <c r="AG32" i="8"/>
  <c r="AE32" i="8"/>
  <c r="AC32" i="8"/>
  <c r="AB32" i="8"/>
  <c r="AA32" i="8"/>
  <c r="Z32" i="8"/>
  <c r="Y32" i="8"/>
  <c r="X32" i="8"/>
  <c r="W32" i="8"/>
  <c r="V32" i="8"/>
  <c r="U32" i="8"/>
  <c r="T32" i="8"/>
  <c r="S32" i="8"/>
  <c r="R32" i="8"/>
  <c r="Q32" i="8"/>
  <c r="P32" i="8"/>
  <c r="O32" i="8"/>
  <c r="N32" i="8"/>
  <c r="AT31" i="8"/>
  <c r="AS31" i="8"/>
  <c r="AR31" i="8"/>
  <c r="AQ31" i="8"/>
  <c r="AP31" i="8"/>
  <c r="AN31" i="8"/>
  <c r="AM31" i="8"/>
  <c r="AK31" i="8"/>
  <c r="AI31" i="8"/>
  <c r="AG31" i="8"/>
  <c r="AE31" i="8"/>
  <c r="AC31" i="8"/>
  <c r="AB31" i="8"/>
  <c r="AA31" i="8"/>
  <c r="Z31" i="8"/>
  <c r="Y31" i="8"/>
  <c r="X31" i="8"/>
  <c r="W31" i="8"/>
  <c r="V31" i="8"/>
  <c r="U31" i="8"/>
  <c r="T31" i="8"/>
  <c r="S31" i="8"/>
  <c r="R31" i="8"/>
  <c r="Q31" i="8"/>
  <c r="P31" i="8"/>
  <c r="O31" i="8"/>
  <c r="N31" i="8"/>
  <c r="AT30" i="8"/>
  <c r="AS30" i="8"/>
  <c r="AR30" i="8"/>
  <c r="AQ30" i="8"/>
  <c r="AP30" i="8"/>
  <c r="AN30" i="8"/>
  <c r="AM30" i="8"/>
  <c r="AK30" i="8"/>
  <c r="AI30" i="8"/>
  <c r="AG30" i="8"/>
  <c r="AE30" i="8"/>
  <c r="AC30" i="8"/>
  <c r="AB30" i="8"/>
  <c r="AA30" i="8"/>
  <c r="Z30" i="8"/>
  <c r="Y30" i="8"/>
  <c r="X30" i="8"/>
  <c r="W30" i="8"/>
  <c r="V30" i="8"/>
  <c r="U30" i="8"/>
  <c r="T30" i="8"/>
  <c r="S30" i="8"/>
  <c r="R30" i="8"/>
  <c r="Q30" i="8"/>
  <c r="P30" i="8"/>
  <c r="O30" i="8"/>
  <c r="N30" i="8"/>
  <c r="AT29" i="8"/>
  <c r="AS29" i="8"/>
  <c r="AR29" i="8"/>
  <c r="AQ29" i="8"/>
  <c r="AP29" i="8"/>
  <c r="AN29" i="8"/>
  <c r="AM29" i="8"/>
  <c r="AK29" i="8"/>
  <c r="AI29" i="8"/>
  <c r="AG29" i="8"/>
  <c r="AE29" i="8"/>
  <c r="AC29" i="8"/>
  <c r="AB29" i="8"/>
  <c r="AA29" i="8"/>
  <c r="Z29" i="8"/>
  <c r="Y29" i="8"/>
  <c r="X29" i="8"/>
  <c r="W29" i="8"/>
  <c r="V29" i="8"/>
  <c r="U29" i="8"/>
  <c r="T29" i="8"/>
  <c r="S29" i="8"/>
  <c r="R29" i="8"/>
  <c r="Q29" i="8"/>
  <c r="P29" i="8"/>
  <c r="O29" i="8"/>
  <c r="N29" i="8"/>
  <c r="AT28" i="8"/>
  <c r="AS28" i="8"/>
  <c r="AR28" i="8"/>
  <c r="AQ28" i="8"/>
  <c r="AP28" i="8"/>
  <c r="AN28" i="8"/>
  <c r="AM28" i="8"/>
  <c r="AK28" i="8"/>
  <c r="AI28" i="8"/>
  <c r="AG28" i="8"/>
  <c r="AE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AT27" i="8"/>
  <c r="AS27" i="8"/>
  <c r="AR27" i="8"/>
  <c r="AQ27" i="8"/>
  <c r="AP27" i="8"/>
  <c r="AN27" i="8"/>
  <c r="AM27" i="8"/>
  <c r="AK27" i="8"/>
  <c r="AI27" i="8"/>
  <c r="AG27" i="8"/>
  <c r="AE27" i="8"/>
  <c r="AC27" i="8"/>
  <c r="AB27" i="8"/>
  <c r="AA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AT26" i="8"/>
  <c r="AS26" i="8"/>
  <c r="AR26" i="8"/>
  <c r="AQ26" i="8"/>
  <c r="AP26" i="8"/>
  <c r="AN26" i="8"/>
  <c r="AM26" i="8"/>
  <c r="AK26" i="8"/>
  <c r="AI26" i="8"/>
  <c r="AG26" i="8"/>
  <c r="AE26" i="8"/>
  <c r="AC26" i="8"/>
  <c r="AB26" i="8"/>
  <c r="AA26" i="8"/>
  <c r="Z26" i="8"/>
  <c r="Y26" i="8"/>
  <c r="X26" i="8"/>
  <c r="W26" i="8"/>
  <c r="V26" i="8"/>
  <c r="U26" i="8"/>
  <c r="T26" i="8"/>
  <c r="S26" i="8"/>
  <c r="R26" i="8"/>
  <c r="Q26" i="8"/>
  <c r="P26" i="8"/>
  <c r="O26" i="8"/>
  <c r="N26" i="8"/>
  <c r="AT25" i="8"/>
  <c r="AS25" i="8"/>
  <c r="AR25" i="8"/>
  <c r="AQ25" i="8"/>
  <c r="AP25" i="8"/>
  <c r="AN25" i="8"/>
  <c r="AM25" i="8"/>
  <c r="AK25" i="8"/>
  <c r="AI25" i="8"/>
  <c r="AG25" i="8"/>
  <c r="AE25" i="8"/>
  <c r="AC25" i="8"/>
  <c r="AB25" i="8"/>
  <c r="AA25" i="8"/>
  <c r="Z25" i="8"/>
  <c r="Y25" i="8"/>
  <c r="X25" i="8"/>
  <c r="W25" i="8"/>
  <c r="V25" i="8"/>
  <c r="U25" i="8"/>
  <c r="T25" i="8"/>
  <c r="S25" i="8"/>
  <c r="R25" i="8"/>
  <c r="Q25" i="8"/>
  <c r="P25" i="8"/>
  <c r="O25" i="8"/>
  <c r="N25" i="8"/>
  <c r="AT24" i="8"/>
  <c r="AS24" i="8"/>
  <c r="AR24" i="8"/>
  <c r="AQ24" i="8"/>
  <c r="AP24" i="8"/>
  <c r="AN24" i="8"/>
  <c r="AM24" i="8"/>
  <c r="AK24" i="8"/>
  <c r="AI24" i="8"/>
  <c r="AG24" i="8"/>
  <c r="AE24" i="8"/>
  <c r="AC24" i="8"/>
  <c r="AB24" i="8"/>
  <c r="AA24" i="8"/>
  <c r="Z24" i="8"/>
  <c r="Y24" i="8"/>
  <c r="X24" i="8"/>
  <c r="W24" i="8"/>
  <c r="V24" i="8"/>
  <c r="U24" i="8"/>
  <c r="T24" i="8"/>
  <c r="S24" i="8"/>
  <c r="R24" i="8"/>
  <c r="Q24" i="8"/>
  <c r="P24" i="8"/>
  <c r="O24" i="8"/>
  <c r="N24" i="8"/>
  <c r="AT23" i="8"/>
  <c r="AS23" i="8"/>
  <c r="AR23" i="8"/>
  <c r="AQ23" i="8"/>
  <c r="AP23" i="8"/>
  <c r="AN23" i="8"/>
  <c r="AM23" i="8"/>
  <c r="AK23" i="8"/>
  <c r="AI23" i="8"/>
  <c r="AG23" i="8"/>
  <c r="AE23" i="8"/>
  <c r="AC23" i="8"/>
  <c r="AB23" i="8"/>
  <c r="AA23" i="8"/>
  <c r="Z23" i="8"/>
  <c r="Y23" i="8"/>
  <c r="X23" i="8"/>
  <c r="W23" i="8"/>
  <c r="V23" i="8"/>
  <c r="U23" i="8"/>
  <c r="T23" i="8"/>
  <c r="S23" i="8"/>
  <c r="R23" i="8"/>
  <c r="Q23" i="8"/>
  <c r="P23" i="8"/>
  <c r="O23" i="8"/>
  <c r="N23" i="8"/>
  <c r="AT22" i="8"/>
  <c r="AS22" i="8"/>
  <c r="AR22" i="8"/>
  <c r="AQ22" i="8"/>
  <c r="AP22" i="8"/>
  <c r="AN22" i="8"/>
  <c r="AM22" i="8"/>
  <c r="AK22" i="8"/>
  <c r="AI22" i="8"/>
  <c r="AG22" i="8"/>
  <c r="AE22" i="8"/>
  <c r="AC22" i="8"/>
  <c r="AB22" i="8"/>
  <c r="AA22" i="8"/>
  <c r="Z22" i="8"/>
  <c r="Y22" i="8"/>
  <c r="X22" i="8"/>
  <c r="W22" i="8"/>
  <c r="V22" i="8"/>
  <c r="U22" i="8"/>
  <c r="T22" i="8"/>
  <c r="S22" i="8"/>
  <c r="R22" i="8"/>
  <c r="Q22" i="8"/>
  <c r="P22" i="8"/>
  <c r="O22" i="8"/>
  <c r="N22" i="8"/>
  <c r="AT21" i="8"/>
  <c r="AS21" i="8"/>
  <c r="AR21" i="8"/>
  <c r="AQ21" i="8"/>
  <c r="AP21" i="8"/>
  <c r="AN21" i="8"/>
  <c r="AM21" i="8"/>
  <c r="AK21" i="8"/>
  <c r="AI21" i="8"/>
  <c r="AG21" i="8"/>
  <c r="AE21" i="8"/>
  <c r="AC21" i="8"/>
  <c r="AB21" i="8"/>
  <c r="AA21" i="8"/>
  <c r="Z21" i="8"/>
  <c r="Y21" i="8"/>
  <c r="X21" i="8"/>
  <c r="W21" i="8"/>
  <c r="V21" i="8"/>
  <c r="U21" i="8"/>
  <c r="T21" i="8"/>
  <c r="S21" i="8"/>
  <c r="R21" i="8"/>
  <c r="Q21" i="8"/>
  <c r="P21" i="8"/>
  <c r="O21" i="8"/>
  <c r="N21" i="8"/>
  <c r="AT20" i="8"/>
  <c r="AS20" i="8"/>
  <c r="AR20" i="8"/>
  <c r="AQ20" i="8"/>
  <c r="AP20" i="8"/>
  <c r="AN20" i="8"/>
  <c r="AM20" i="8"/>
  <c r="AK20" i="8"/>
  <c r="AI20" i="8"/>
  <c r="AG20" i="8"/>
  <c r="AE20" i="8"/>
  <c r="AC20" i="8"/>
  <c r="AB20" i="8"/>
  <c r="AA20" i="8"/>
  <c r="Z20" i="8"/>
  <c r="Y20" i="8"/>
  <c r="X20" i="8"/>
  <c r="W20" i="8"/>
  <c r="V20" i="8"/>
  <c r="U20" i="8"/>
  <c r="T20" i="8"/>
  <c r="S20" i="8"/>
  <c r="R20" i="8"/>
  <c r="Q20" i="8"/>
  <c r="P20" i="8"/>
  <c r="O20" i="8"/>
  <c r="N20" i="8"/>
  <c r="AT19" i="8"/>
  <c r="AS19" i="8"/>
  <c r="AR19" i="8"/>
  <c r="AQ19" i="8"/>
  <c r="AP19" i="8"/>
  <c r="AN19" i="8"/>
  <c r="AM19" i="8"/>
  <c r="AK19" i="8"/>
  <c r="AI19" i="8"/>
  <c r="AG19" i="8"/>
  <c r="AE19" i="8"/>
  <c r="AC19" i="8"/>
  <c r="AB19" i="8"/>
  <c r="AA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AT18" i="8"/>
  <c r="AS18" i="8"/>
  <c r="AR18" i="8"/>
  <c r="AQ18" i="8"/>
  <c r="AP18" i="8"/>
  <c r="AN18" i="8"/>
  <c r="AM18" i="8"/>
  <c r="AK18" i="8"/>
  <c r="AI18" i="8"/>
  <c r="AG18" i="8"/>
  <c r="AE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AT17" i="8"/>
  <c r="AS17" i="8"/>
  <c r="AR17" i="8"/>
  <c r="AQ17" i="8"/>
  <c r="AP17" i="8"/>
  <c r="AN17" i="8"/>
  <c r="AM17" i="8"/>
  <c r="AK17" i="8"/>
  <c r="AI17" i="8"/>
  <c r="AG17" i="8"/>
  <c r="AE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AT16" i="8"/>
  <c r="AS16" i="8"/>
  <c r="AR16" i="8"/>
  <c r="AQ16" i="8"/>
  <c r="AP16" i="8"/>
  <c r="AN16" i="8"/>
  <c r="AM16" i="8"/>
  <c r="AK16" i="8"/>
  <c r="AI16" i="8"/>
  <c r="AG16" i="8"/>
  <c r="AE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AT15" i="8"/>
  <c r="AS15" i="8"/>
  <c r="AR15" i="8"/>
  <c r="AQ15" i="8"/>
  <c r="AP15" i="8"/>
  <c r="AN15" i="8"/>
  <c r="AM15" i="8"/>
  <c r="AK15" i="8"/>
  <c r="AI15" i="8"/>
  <c r="AG15" i="8"/>
  <c r="AE15" i="8"/>
  <c r="AC15" i="8"/>
  <c r="AB15" i="8"/>
  <c r="AA15" i="8"/>
  <c r="Z15" i="8"/>
  <c r="Y15" i="8"/>
  <c r="X15" i="8"/>
  <c r="W15" i="8"/>
  <c r="V15" i="8"/>
  <c r="U15" i="8"/>
  <c r="T15" i="8"/>
  <c r="S15" i="8"/>
  <c r="R15" i="8"/>
  <c r="Q15" i="8"/>
  <c r="P15" i="8"/>
  <c r="O15" i="8"/>
  <c r="N15" i="8"/>
  <c r="AT14" i="8"/>
  <c r="AS14" i="8"/>
  <c r="AR14" i="8"/>
  <c r="AQ14" i="8"/>
  <c r="AP14" i="8"/>
  <c r="AN14" i="8"/>
  <c r="AM14" i="8"/>
  <c r="AK14" i="8"/>
  <c r="AI14" i="8"/>
  <c r="AG14" i="8"/>
  <c r="AE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AT13" i="8"/>
  <c r="AS13" i="8"/>
  <c r="AR13" i="8"/>
  <c r="AQ13" i="8"/>
  <c r="AP13" i="8"/>
  <c r="AN13" i="8"/>
  <c r="AM13" i="8"/>
  <c r="AK13" i="8"/>
  <c r="AI13" i="8"/>
  <c r="AG13" i="8"/>
  <c r="AE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AT12" i="8"/>
  <c r="AS12" i="8"/>
  <c r="AR12" i="8"/>
  <c r="AQ12" i="8"/>
  <c r="AP12" i="8"/>
  <c r="AN12" i="8"/>
  <c r="AM12" i="8"/>
  <c r="AK12" i="8"/>
  <c r="AI12" i="8"/>
  <c r="AG12" i="8"/>
  <c r="AE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AT11" i="8"/>
  <c r="AS11" i="8"/>
  <c r="AR11" i="8"/>
  <c r="AQ11" i="8"/>
  <c r="AP11" i="8"/>
  <c r="AN11" i="8"/>
  <c r="AM11" i="8"/>
  <c r="AK11" i="8"/>
  <c r="AI11" i="8"/>
  <c r="AG11" i="8"/>
  <c r="AE11" i="8"/>
  <c r="AC11" i="8"/>
  <c r="AB11" i="8"/>
  <c r="AA11" i="8"/>
  <c r="Z11" i="8"/>
  <c r="Y11" i="8"/>
  <c r="X11" i="8"/>
  <c r="W11" i="8"/>
  <c r="V11" i="8"/>
  <c r="U11" i="8"/>
  <c r="T11" i="8"/>
  <c r="S11" i="8"/>
  <c r="R11" i="8"/>
  <c r="Q11" i="8"/>
  <c r="P11" i="8"/>
  <c r="O11" i="8"/>
  <c r="N11" i="8"/>
  <c r="AT10" i="8"/>
  <c r="AS10" i="8"/>
  <c r="AR10" i="8"/>
  <c r="AQ10" i="8"/>
  <c r="AP10" i="8"/>
  <c r="AN10" i="8"/>
  <c r="AM10" i="8"/>
  <c r="AK10" i="8"/>
  <c r="AI10" i="8"/>
  <c r="AG10" i="8"/>
  <c r="AE10" i="8"/>
  <c r="AC10" i="8"/>
  <c r="AB10" i="8"/>
  <c r="AA10" i="8"/>
  <c r="Z10" i="8"/>
  <c r="Y10" i="8"/>
  <c r="X10" i="8"/>
  <c r="W10" i="8"/>
  <c r="V10" i="8"/>
  <c r="U10" i="8"/>
  <c r="T10" i="8"/>
  <c r="S10" i="8"/>
  <c r="R10" i="8"/>
  <c r="Q10" i="8"/>
  <c r="P10" i="8"/>
  <c r="O10" i="8"/>
  <c r="N10" i="8"/>
  <c r="AT9" i="8"/>
  <c r="AS9" i="8"/>
  <c r="AR9" i="8"/>
  <c r="AQ9" i="8"/>
  <c r="AP9" i="8"/>
  <c r="AN9" i="8"/>
  <c r="AM9" i="8"/>
  <c r="AK9" i="8"/>
  <c r="AI9" i="8"/>
  <c r="AG9" i="8"/>
  <c r="AE9" i="8"/>
  <c r="AC9" i="8"/>
  <c r="AB9" i="8"/>
  <c r="AA9" i="8"/>
  <c r="Z9" i="8"/>
  <c r="Y9" i="8"/>
  <c r="X9" i="8"/>
  <c r="W9" i="8"/>
  <c r="V9" i="8"/>
  <c r="U9" i="8"/>
  <c r="T9" i="8"/>
  <c r="S9" i="8"/>
  <c r="R9" i="8"/>
  <c r="Q9" i="8"/>
  <c r="P9" i="8"/>
  <c r="O9" i="8"/>
  <c r="N9" i="8"/>
  <c r="AT8" i="8"/>
  <c r="AS8" i="8"/>
  <c r="AR8" i="8"/>
  <c r="AQ8" i="8"/>
  <c r="AP8" i="8"/>
  <c r="AN8" i="8"/>
  <c r="AM8" i="8"/>
  <c r="AK8" i="8"/>
  <c r="AI8" i="8"/>
  <c r="AG8" i="8"/>
  <c r="AE8" i="8"/>
  <c r="AC8" i="8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AT7" i="8"/>
  <c r="AS7" i="8"/>
  <c r="AR7" i="8"/>
  <c r="AQ7" i="8"/>
  <c r="AP7" i="8"/>
  <c r="AN7" i="8"/>
  <c r="AM7" i="8"/>
  <c r="AK7" i="8"/>
  <c r="AI7" i="8"/>
  <c r="AG7" i="8"/>
  <c r="AE7" i="8"/>
  <c r="AC7" i="8"/>
  <c r="AB7" i="8"/>
  <c r="AA7" i="8"/>
  <c r="Z7" i="8"/>
  <c r="Y7" i="8"/>
  <c r="X7" i="8"/>
  <c r="W7" i="8"/>
  <c r="V7" i="8"/>
  <c r="U7" i="8"/>
  <c r="T7" i="8"/>
  <c r="S7" i="8"/>
  <c r="R7" i="8"/>
  <c r="Q7" i="8"/>
  <c r="P7" i="8"/>
  <c r="O7" i="8"/>
  <c r="N7" i="8"/>
  <c r="AT6" i="8"/>
  <c r="AS6" i="8"/>
  <c r="AR6" i="8"/>
  <c r="AQ6" i="8"/>
  <c r="AP6" i="8"/>
  <c r="AN6" i="8"/>
  <c r="AM6" i="8"/>
  <c r="AK6" i="8"/>
  <c r="AI6" i="8"/>
  <c r="AG6" i="8"/>
  <c r="AE6" i="8"/>
  <c r="AC6" i="8"/>
  <c r="AB6" i="8"/>
  <c r="AA6" i="8"/>
  <c r="Z6" i="8"/>
  <c r="Y6" i="8"/>
  <c r="X6" i="8"/>
  <c r="W6" i="8"/>
  <c r="V6" i="8"/>
  <c r="U6" i="8"/>
  <c r="T6" i="8"/>
  <c r="S6" i="8"/>
  <c r="R6" i="8"/>
  <c r="Q6" i="8"/>
  <c r="P6" i="8"/>
  <c r="O6" i="8"/>
  <c r="N6" i="8"/>
  <c r="AT5" i="8"/>
  <c r="AS5" i="8"/>
  <c r="AR5" i="8"/>
  <c r="AQ5" i="8"/>
  <c r="AN5" i="8"/>
  <c r="AM5" i="8"/>
  <c r="AK5" i="8"/>
  <c r="AI5" i="8"/>
  <c r="AG5" i="8"/>
  <c r="AE5" i="8"/>
  <c r="AC5" i="8"/>
  <c r="AB5" i="8"/>
  <c r="AA5" i="8"/>
  <c r="Z5" i="8"/>
  <c r="Y5" i="8"/>
  <c r="X5" i="8"/>
  <c r="W5" i="8"/>
  <c r="V5" i="8"/>
  <c r="U5" i="8"/>
  <c r="T5" i="8"/>
  <c r="S5" i="8"/>
  <c r="R5" i="8"/>
  <c r="Q5" i="8"/>
  <c r="P5" i="8"/>
  <c r="O5" i="8"/>
  <c r="N5" i="8"/>
  <c r="AT4" i="8"/>
  <c r="AS4" i="8"/>
  <c r="AR4" i="8"/>
  <c r="AQ4" i="8"/>
  <c r="AN4" i="8"/>
  <c r="AM4" i="8"/>
  <c r="AK4" i="8"/>
  <c r="AI4" i="8"/>
  <c r="AG4" i="8"/>
  <c r="AE4" i="8"/>
  <c r="AC4" i="8"/>
  <c r="AB4" i="8"/>
  <c r="AA4" i="8"/>
  <c r="Z4" i="8"/>
  <c r="Y4" i="8"/>
  <c r="X4" i="8"/>
  <c r="W4" i="8"/>
  <c r="V4" i="8"/>
  <c r="U4" i="8"/>
  <c r="T4" i="8"/>
  <c r="S4" i="8"/>
  <c r="R4" i="8"/>
  <c r="Q4" i="8"/>
  <c r="P4" i="8"/>
  <c r="O4" i="8"/>
  <c r="N4" i="8"/>
  <c r="GE13" i="4" l="1"/>
  <c r="DP13" i="4"/>
  <c r="V122" i="3" l="1"/>
  <c r="B130" i="3"/>
  <c r="V127" i="3"/>
  <c r="V124" i="3"/>
  <c r="L130" i="3"/>
  <c r="L128" i="3"/>
  <c r="L125" i="3"/>
  <c r="V126" i="3"/>
  <c r="V123" i="3"/>
  <c r="L127" i="3"/>
  <c r="L124" i="3"/>
  <c r="V125" i="3"/>
  <c r="L129" i="3"/>
  <c r="L126" i="3"/>
  <c r="L123" i="3"/>
  <c r="L122" i="3"/>
  <c r="B127" i="3"/>
  <c r="B126" i="3"/>
  <c r="B125" i="3"/>
  <c r="B124" i="3"/>
  <c r="B123" i="3"/>
  <c r="B122" i="3"/>
  <c r="V148" i="3"/>
  <c r="V149" i="3"/>
  <c r="V150" i="3"/>
  <c r="V151" i="3"/>
  <c r="V152" i="3"/>
  <c r="V147" i="3"/>
  <c r="L118" i="3"/>
  <c r="L114" i="3"/>
  <c r="L115" i="3"/>
  <c r="L116" i="3"/>
  <c r="L117" i="3"/>
  <c r="L113" i="3"/>
  <c r="B116" i="3"/>
  <c r="B117" i="3"/>
  <c r="B118" i="3"/>
  <c r="B114" i="3"/>
  <c r="B115" i="3"/>
  <c r="B113" i="3"/>
  <c r="H107" i="3" l="1"/>
  <c r="AB94" i="3"/>
  <c r="G104" i="3"/>
  <c r="R102" i="3"/>
  <c r="G102" i="3"/>
  <c r="S100" i="3"/>
  <c r="E100" i="3"/>
  <c r="E98" i="3"/>
  <c r="X96" i="3"/>
  <c r="T96" i="3"/>
  <c r="E96" i="3"/>
  <c r="GM19" i="4" l="1"/>
  <c r="GN19" i="4"/>
  <c r="GO19" i="4"/>
  <c r="GM20" i="4"/>
  <c r="GN20" i="4"/>
  <c r="GO20" i="4"/>
  <c r="GM21" i="4"/>
  <c r="GN21" i="4"/>
  <c r="GO21" i="4"/>
  <c r="GM22" i="4"/>
  <c r="GN22" i="4"/>
  <c r="GO22" i="4"/>
  <c r="GM23" i="4"/>
  <c r="GN23" i="4"/>
  <c r="GO23" i="4"/>
  <c r="GM24" i="4"/>
  <c r="GN24" i="4"/>
  <c r="GO24" i="4"/>
  <c r="GM25" i="4"/>
  <c r="GN25" i="4"/>
  <c r="GO25" i="4"/>
  <c r="GM26" i="4"/>
  <c r="GN26" i="4"/>
  <c r="GO26" i="4"/>
  <c r="GM27" i="4"/>
  <c r="GN27" i="4"/>
  <c r="GO27" i="4"/>
  <c r="GM28" i="4"/>
  <c r="GN28" i="4"/>
  <c r="GO28" i="4"/>
  <c r="GM29" i="4"/>
  <c r="GN29" i="4"/>
  <c r="GO29" i="4"/>
  <c r="GM30" i="4"/>
  <c r="GN30" i="4"/>
  <c r="GO30" i="4"/>
  <c r="GM31" i="4"/>
  <c r="GN31" i="4"/>
  <c r="GO31" i="4"/>
  <c r="GM32" i="4"/>
  <c r="GN32" i="4"/>
  <c r="GO32" i="4"/>
  <c r="GM33" i="4"/>
  <c r="GN33" i="4"/>
  <c r="GO33" i="4"/>
  <c r="GM34" i="4"/>
  <c r="GN34" i="4"/>
  <c r="GO34" i="4"/>
  <c r="GM35" i="4"/>
  <c r="GN35" i="4"/>
  <c r="GO35" i="4"/>
  <c r="GM36" i="4"/>
  <c r="GN36" i="4"/>
  <c r="GO36" i="4"/>
  <c r="GM37" i="4"/>
  <c r="GN37" i="4"/>
  <c r="GO37" i="4"/>
  <c r="GM38" i="4"/>
  <c r="GN38" i="4"/>
  <c r="GO38" i="4"/>
  <c r="GM39" i="4"/>
  <c r="GN39" i="4"/>
  <c r="GO39" i="4"/>
  <c r="GM40" i="4"/>
  <c r="GN40" i="4"/>
  <c r="GO40" i="4"/>
  <c r="GM41" i="4"/>
  <c r="GN41" i="4"/>
  <c r="GO41" i="4"/>
  <c r="GM42" i="4"/>
  <c r="GN42" i="4"/>
  <c r="GO42" i="4"/>
  <c r="GM43" i="4"/>
  <c r="GN43" i="4"/>
  <c r="GO43" i="4"/>
  <c r="GM44" i="4"/>
  <c r="GN44" i="4"/>
  <c r="GO44" i="4"/>
  <c r="GM45" i="4"/>
  <c r="GN45" i="4"/>
  <c r="GO45" i="4"/>
  <c r="GM46" i="4"/>
  <c r="GN46" i="4"/>
  <c r="GO46" i="4"/>
  <c r="GM47" i="4"/>
  <c r="GN47" i="4"/>
  <c r="GO47" i="4"/>
  <c r="GM48" i="4"/>
  <c r="GN48" i="4"/>
  <c r="GO48" i="4"/>
  <c r="GM49" i="4"/>
  <c r="GN49" i="4"/>
  <c r="GO49" i="4"/>
  <c r="GM50" i="4"/>
  <c r="GN50" i="4"/>
  <c r="GO50" i="4"/>
  <c r="GM51" i="4"/>
  <c r="GN51" i="4"/>
  <c r="GO51" i="4"/>
  <c r="GM52" i="4"/>
  <c r="GN52" i="4"/>
  <c r="GO52" i="4"/>
  <c r="GM53" i="4"/>
  <c r="GN53" i="4"/>
  <c r="GO53" i="4"/>
  <c r="GM54" i="4"/>
  <c r="GN54" i="4"/>
  <c r="GO54" i="4"/>
  <c r="GM55" i="4"/>
  <c r="GN55" i="4"/>
  <c r="GO55" i="4"/>
  <c r="GM56" i="4"/>
  <c r="GN56" i="4"/>
  <c r="GO56" i="4"/>
  <c r="GM57" i="4"/>
  <c r="GN57" i="4"/>
  <c r="GO57" i="4"/>
  <c r="GM58" i="4"/>
  <c r="GN58" i="4"/>
  <c r="GO58" i="4"/>
  <c r="GM59" i="4"/>
  <c r="GN59" i="4"/>
  <c r="GO59" i="4"/>
  <c r="GM60" i="4"/>
  <c r="GN60" i="4"/>
  <c r="GO60" i="4"/>
  <c r="GM61" i="4"/>
  <c r="GN61" i="4"/>
  <c r="GO61" i="4"/>
  <c r="GM62" i="4"/>
  <c r="GN62" i="4"/>
  <c r="GO62" i="4"/>
  <c r="GM63" i="4"/>
  <c r="GN63" i="4"/>
  <c r="GO63" i="4"/>
  <c r="GM64" i="4"/>
  <c r="GN64" i="4"/>
  <c r="GO64" i="4"/>
  <c r="GM65" i="4"/>
  <c r="GN65" i="4"/>
  <c r="GO65" i="4"/>
  <c r="GM66" i="4"/>
  <c r="GN66" i="4"/>
  <c r="GO66" i="4"/>
  <c r="GM67" i="4"/>
  <c r="GN67" i="4"/>
  <c r="GO67" i="4"/>
  <c r="GM68" i="4"/>
  <c r="GN68" i="4"/>
  <c r="GO68" i="4"/>
  <c r="GM69" i="4"/>
  <c r="GN69" i="4"/>
  <c r="GO69" i="4"/>
  <c r="GM70" i="4"/>
  <c r="GN70" i="4"/>
  <c r="GO70" i="4"/>
  <c r="GM71" i="4"/>
  <c r="GN71" i="4"/>
  <c r="GO71" i="4"/>
  <c r="GM13" i="4"/>
  <c r="GN13" i="4"/>
  <c r="GO13" i="4"/>
  <c r="GM14" i="4"/>
  <c r="GN14" i="4"/>
  <c r="GO14" i="4"/>
  <c r="GM15" i="4"/>
  <c r="GN15" i="4"/>
  <c r="GO15" i="4"/>
  <c r="GM16" i="4"/>
  <c r="GN16" i="4"/>
  <c r="GO16" i="4"/>
  <c r="GM17" i="4"/>
  <c r="GN17" i="4"/>
  <c r="GO17" i="4"/>
  <c r="GM18" i="4"/>
  <c r="GN18" i="4"/>
  <c r="GO18" i="4"/>
  <c r="GN12" i="4"/>
  <c r="GM12" i="4"/>
  <c r="GJ13" i="4"/>
  <c r="GJ14" i="4"/>
  <c r="GJ15" i="4"/>
  <c r="GJ16" i="4"/>
  <c r="GJ17" i="4"/>
  <c r="GJ18" i="4"/>
  <c r="GJ19" i="4"/>
  <c r="GJ20" i="4"/>
  <c r="GJ21" i="4"/>
  <c r="GJ22" i="4"/>
  <c r="GJ23" i="4"/>
  <c r="GJ24" i="4"/>
  <c r="GJ25" i="4"/>
  <c r="GJ26" i="4"/>
  <c r="GJ27" i="4"/>
  <c r="GJ28" i="4"/>
  <c r="GJ29" i="4"/>
  <c r="GJ30" i="4"/>
  <c r="GJ31" i="4"/>
  <c r="GJ32" i="4"/>
  <c r="GJ33" i="4"/>
  <c r="GJ34" i="4"/>
  <c r="GJ35" i="4"/>
  <c r="GJ36" i="4"/>
  <c r="GJ37" i="4"/>
  <c r="GJ38" i="4"/>
  <c r="GJ39" i="4"/>
  <c r="GJ40" i="4"/>
  <c r="GJ41" i="4"/>
  <c r="GJ42" i="4"/>
  <c r="GJ43" i="4"/>
  <c r="GJ44" i="4"/>
  <c r="GJ45" i="4"/>
  <c r="GJ46" i="4"/>
  <c r="GJ47" i="4"/>
  <c r="GJ48" i="4"/>
  <c r="GJ49" i="4"/>
  <c r="GJ50" i="4"/>
  <c r="GJ51" i="4"/>
  <c r="GJ52" i="4"/>
  <c r="GJ53" i="4"/>
  <c r="GJ54" i="4"/>
  <c r="GJ55" i="4"/>
  <c r="GJ56" i="4"/>
  <c r="GJ57" i="4"/>
  <c r="GJ58" i="4"/>
  <c r="GJ59" i="4"/>
  <c r="GJ60" i="4"/>
  <c r="GJ61" i="4"/>
  <c r="GJ62" i="4"/>
  <c r="GJ63" i="4"/>
  <c r="GJ64" i="4"/>
  <c r="GJ65" i="4"/>
  <c r="GJ66" i="4"/>
  <c r="GJ67" i="4"/>
  <c r="GJ68" i="4"/>
  <c r="GJ69" i="4"/>
  <c r="GJ70" i="4"/>
  <c r="GJ71" i="4"/>
  <c r="GJ12" i="4"/>
  <c r="GD19" i="4"/>
  <c r="GD20" i="4"/>
  <c r="GD21" i="4"/>
  <c r="GD22" i="4"/>
  <c r="GD23" i="4"/>
  <c r="GD24" i="4"/>
  <c r="GD25" i="4"/>
  <c r="GD26" i="4"/>
  <c r="GD27" i="4"/>
  <c r="GD28" i="4"/>
  <c r="GD29" i="4"/>
  <c r="GD30" i="4"/>
  <c r="GD31" i="4"/>
  <c r="GD32" i="4"/>
  <c r="GD33" i="4"/>
  <c r="GD34" i="4"/>
  <c r="GD35" i="4"/>
  <c r="GD36" i="4"/>
  <c r="GD37" i="4"/>
  <c r="GD38" i="4"/>
  <c r="GD39" i="4"/>
  <c r="GD40" i="4"/>
  <c r="GD41" i="4"/>
  <c r="GD42" i="4"/>
  <c r="GD43" i="4"/>
  <c r="GD44" i="4"/>
  <c r="GD45" i="4"/>
  <c r="GD46" i="4"/>
  <c r="GD47" i="4"/>
  <c r="GD48" i="4"/>
  <c r="GD49" i="4"/>
  <c r="GD50" i="4"/>
  <c r="GD51" i="4"/>
  <c r="GD52" i="4"/>
  <c r="GD53" i="4"/>
  <c r="GD54" i="4"/>
  <c r="GD55" i="4"/>
  <c r="GD56" i="4"/>
  <c r="GD57" i="4"/>
  <c r="GD58" i="4"/>
  <c r="GD59" i="4"/>
  <c r="GD60" i="4"/>
  <c r="GD61" i="4"/>
  <c r="GD62" i="4"/>
  <c r="GD63" i="4"/>
  <c r="GD64" i="4"/>
  <c r="GD65" i="4"/>
  <c r="GD66" i="4"/>
  <c r="GD67" i="4"/>
  <c r="GD68" i="4"/>
  <c r="GD69" i="4"/>
  <c r="GD70" i="4"/>
  <c r="GD71" i="4"/>
  <c r="GD13" i="4"/>
  <c r="GD14" i="4"/>
  <c r="GD15" i="4"/>
  <c r="GD16" i="4"/>
  <c r="GD17" i="4"/>
  <c r="GD18" i="4"/>
  <c r="CX12" i="4"/>
  <c r="CV12" i="4"/>
  <c r="CT12" i="4"/>
  <c r="BK17" i="4"/>
  <c r="BJ17" i="4"/>
  <c r="BK22" i="4"/>
  <c r="BK29" i="4"/>
  <c r="BK37" i="4"/>
  <c r="BK42" i="4"/>
  <c r="BK58" i="4"/>
  <c r="BK59" i="4"/>
  <c r="BK60" i="4"/>
  <c r="BK61" i="4"/>
  <c r="BK62" i="4"/>
  <c r="BK63" i="4"/>
  <c r="BK64" i="4"/>
  <c r="BK65" i="4"/>
  <c r="BK66" i="4"/>
  <c r="BK67" i="4"/>
  <c r="BK68" i="4"/>
  <c r="BK69" i="4"/>
  <c r="BK70" i="4"/>
  <c r="BK71" i="4"/>
  <c r="BJ22" i="4"/>
  <c r="BJ29" i="4"/>
  <c r="BJ37" i="4"/>
  <c r="BJ42" i="4"/>
  <c r="BJ58" i="4"/>
  <c r="BJ59" i="4"/>
  <c r="BJ60" i="4"/>
  <c r="BJ61" i="4"/>
  <c r="BJ62" i="4"/>
  <c r="BJ63" i="4"/>
  <c r="BJ64" i="4"/>
  <c r="BJ65" i="4"/>
  <c r="BJ66" i="4"/>
  <c r="BJ67" i="4"/>
  <c r="BJ68" i="4"/>
  <c r="BJ69" i="4"/>
  <c r="BJ70" i="4"/>
  <c r="BJ71" i="4"/>
  <c r="BJ12" i="4"/>
  <c r="AM64" i="4" l="1"/>
  <c r="EF64" i="4" s="1"/>
  <c r="DH64" i="4"/>
  <c r="DQ64" i="4" s="1"/>
  <c r="DR64" i="4" s="1"/>
  <c r="AM12" i="4"/>
  <c r="EF12" i="4" s="1"/>
  <c r="DH12" i="4"/>
  <c r="DH71" i="4"/>
  <c r="DQ71" i="4" s="1"/>
  <c r="DR71" i="4" s="1"/>
  <c r="AM71" i="4"/>
  <c r="EF71" i="4" s="1"/>
  <c r="DH67" i="4"/>
  <c r="DQ67" i="4" s="1"/>
  <c r="DR67" i="4" s="1"/>
  <c r="AM67" i="4"/>
  <c r="EF67" i="4" s="1"/>
  <c r="DH63" i="4"/>
  <c r="DQ63" i="4" s="1"/>
  <c r="DR63" i="4" s="1"/>
  <c r="AM63" i="4"/>
  <c r="EF63" i="4" s="1"/>
  <c r="DH59" i="4"/>
  <c r="DQ59" i="4" s="1"/>
  <c r="DR59" i="4" s="1"/>
  <c r="AM59" i="4"/>
  <c r="EF59" i="4" s="1"/>
  <c r="AM66" i="4"/>
  <c r="EF66" i="4" s="1"/>
  <c r="DH66" i="4"/>
  <c r="DQ66" i="4" s="1"/>
  <c r="DR66" i="4" s="1"/>
  <c r="AM58" i="4"/>
  <c r="EF58" i="4" s="1"/>
  <c r="DH58" i="4"/>
  <c r="DQ58" i="4" s="1"/>
  <c r="DR58" i="4" s="1"/>
  <c r="AM22" i="4"/>
  <c r="DH22" i="4"/>
  <c r="DI22" i="4" s="1"/>
  <c r="AM70" i="4"/>
  <c r="EF70" i="4" s="1"/>
  <c r="DH70" i="4"/>
  <c r="DQ70" i="4" s="1"/>
  <c r="DR70" i="4" s="1"/>
  <c r="AM62" i="4"/>
  <c r="EF62" i="4" s="1"/>
  <c r="DH62" i="4"/>
  <c r="DQ62" i="4" s="1"/>
  <c r="DR62" i="4" s="1"/>
  <c r="AM42" i="4"/>
  <c r="EF42" i="4" s="1"/>
  <c r="DH42" i="4"/>
  <c r="DQ42" i="4" s="1"/>
  <c r="DR42" i="4" s="1"/>
  <c r="I17" i="4"/>
  <c r="DH17" i="4"/>
  <c r="DI17" i="4" s="1"/>
  <c r="AM17" i="4"/>
  <c r="DH69" i="4"/>
  <c r="DQ69" i="4" s="1"/>
  <c r="DR69" i="4" s="1"/>
  <c r="AM69" i="4"/>
  <c r="EF69" i="4" s="1"/>
  <c r="DH65" i="4"/>
  <c r="DQ65" i="4" s="1"/>
  <c r="DR65" i="4" s="1"/>
  <c r="AM65" i="4"/>
  <c r="EF65" i="4" s="1"/>
  <c r="DH61" i="4"/>
  <c r="DQ61" i="4" s="1"/>
  <c r="DR61" i="4" s="1"/>
  <c r="AM61" i="4"/>
  <c r="EF61" i="4" s="1"/>
  <c r="DH37" i="4"/>
  <c r="DQ37" i="4" s="1"/>
  <c r="DR37" i="4" s="1"/>
  <c r="AM37" i="4"/>
  <c r="EF37" i="4" s="1"/>
  <c r="DH29" i="4"/>
  <c r="DX17" i="4" s="1"/>
  <c r="AM29" i="4"/>
  <c r="AM68" i="4"/>
  <c r="EF68" i="4" s="1"/>
  <c r="DH68" i="4"/>
  <c r="DQ68" i="4" s="1"/>
  <c r="DR68" i="4" s="1"/>
  <c r="AM60" i="4"/>
  <c r="EF60" i="4" s="1"/>
  <c r="DH60" i="4"/>
  <c r="DQ60" i="4" s="1"/>
  <c r="DR60" i="4" s="1"/>
  <c r="AP4" i="8"/>
  <c r="I12" i="4"/>
  <c r="FJ64" i="4"/>
  <c r="CO64" i="4"/>
  <c r="CO70" i="4"/>
  <c r="FJ70" i="4"/>
  <c r="FJ62" i="4"/>
  <c r="CO62" i="4"/>
  <c r="CO58" i="4"/>
  <c r="FJ58" i="4"/>
  <c r="CO42" i="4"/>
  <c r="FJ42" i="4"/>
  <c r="FJ69" i="4"/>
  <c r="CO69" i="4"/>
  <c r="CO65" i="4"/>
  <c r="FJ65" i="4"/>
  <c r="FJ61" i="4"/>
  <c r="CO61" i="4"/>
  <c r="CO37" i="4"/>
  <c r="FJ37" i="4"/>
  <c r="CO60" i="4"/>
  <c r="FJ60" i="4"/>
  <c r="FJ68" i="4"/>
  <c r="CO68" i="4"/>
  <c r="FJ71" i="4"/>
  <c r="CO71" i="4"/>
  <c r="FJ67" i="4"/>
  <c r="CO67" i="4"/>
  <c r="CO63" i="4"/>
  <c r="FJ63" i="4"/>
  <c r="FJ59" i="4"/>
  <c r="CO59" i="4"/>
  <c r="FJ66" i="4"/>
  <c r="CO66" i="4"/>
  <c r="CO22" i="4"/>
  <c r="FJ22" i="4"/>
  <c r="FM22" i="4" s="1"/>
  <c r="FN22" i="4" s="1"/>
  <c r="CO29" i="4"/>
  <c r="FJ29" i="4"/>
  <c r="CO12" i="4"/>
  <c r="FJ17" i="4"/>
  <c r="CO17" i="4"/>
  <c r="CP17" i="4" s="1"/>
  <c r="CQ17" i="4" s="1"/>
  <c r="FJ13" i="4"/>
  <c r="FM13" i="4" s="1"/>
  <c r="FN13" i="4" s="1"/>
  <c r="CO13" i="4"/>
  <c r="CP13" i="4" s="1"/>
  <c r="CQ13" i="4" s="1"/>
  <c r="FJ12" i="4"/>
  <c r="GN10" i="4"/>
  <c r="DQ29" i="4" l="1"/>
  <c r="DR29" i="4" s="1"/>
  <c r="AQ17" i="4"/>
  <c r="AO17" i="4"/>
  <c r="AU17" i="4"/>
  <c r="AS17" i="4"/>
  <c r="DN17" i="4"/>
  <c r="DK17" i="4"/>
  <c r="DL17" i="4" s="1"/>
  <c r="DP17" i="4"/>
  <c r="EG13" i="4"/>
  <c r="EG12" i="4"/>
  <c r="EG71" i="4"/>
  <c r="EG70" i="4"/>
  <c r="EG58" i="4"/>
  <c r="EG59" i="4"/>
  <c r="EG69" i="4"/>
  <c r="EG68" i="4"/>
  <c r="EG61" i="4"/>
  <c r="EG60" i="4"/>
  <c r="EG63" i="4"/>
  <c r="EG62" i="4"/>
  <c r="EG66" i="4"/>
  <c r="EG67" i="4"/>
  <c r="EG65" i="4"/>
  <c r="EG64" i="4"/>
  <c r="DX61" i="4"/>
  <c r="DX69" i="4"/>
  <c r="DX70" i="4"/>
  <c r="DX58" i="4"/>
  <c r="DP68" i="4"/>
  <c r="DX68" i="4"/>
  <c r="DK59" i="4"/>
  <c r="DL59" i="4" s="1"/>
  <c r="DX59" i="4"/>
  <c r="AU67" i="4"/>
  <c r="DX67" i="4"/>
  <c r="DP65" i="4"/>
  <c r="DX65" i="4"/>
  <c r="DX62" i="4"/>
  <c r="DX66" i="4"/>
  <c r="DP64" i="4"/>
  <c r="DX64" i="4"/>
  <c r="DP60" i="4"/>
  <c r="DX60" i="4"/>
  <c r="AQ63" i="4"/>
  <c r="DX63" i="4"/>
  <c r="AQ71" i="4"/>
  <c r="DX71" i="4"/>
  <c r="AU29" i="4"/>
  <c r="DP29" i="4"/>
  <c r="DN59" i="4"/>
  <c r="AS59" i="4"/>
  <c r="AU63" i="4"/>
  <c r="DP63" i="4"/>
  <c r="DP67" i="4"/>
  <c r="AS67" i="4"/>
  <c r="DP71" i="4"/>
  <c r="AU71" i="4"/>
  <c r="AU37" i="4"/>
  <c r="AS37" i="4"/>
  <c r="AQ60" i="4"/>
  <c r="AU60" i="4"/>
  <c r="AO64" i="4"/>
  <c r="AU64" i="4"/>
  <c r="AQ68" i="4"/>
  <c r="AU68" i="4"/>
  <c r="AU42" i="4"/>
  <c r="DK42" i="4"/>
  <c r="DL42" i="4" s="1"/>
  <c r="AU61" i="4"/>
  <c r="AO61" i="4"/>
  <c r="DK65" i="4"/>
  <c r="DL65" i="4" s="1"/>
  <c r="AU69" i="4"/>
  <c r="AS69" i="4"/>
  <c r="AU58" i="4"/>
  <c r="DK58" i="4"/>
  <c r="DL58" i="4" s="1"/>
  <c r="AO62" i="4"/>
  <c r="DK62" i="4"/>
  <c r="DL62" i="4" s="1"/>
  <c r="AO70" i="4"/>
  <c r="DK70" i="4"/>
  <c r="DL70" i="4" s="1"/>
  <c r="AQ66" i="4"/>
  <c r="DK66" i="4"/>
  <c r="DL66" i="4" s="1"/>
  <c r="DN29" i="4"/>
  <c r="AO29" i="4"/>
  <c r="AU59" i="4"/>
  <c r="DK63" i="4"/>
  <c r="DL63" i="4" s="1"/>
  <c r="AO63" i="4"/>
  <c r="DN67" i="4"/>
  <c r="DK67" i="4"/>
  <c r="DL67" i="4" s="1"/>
  <c r="DN71" i="4"/>
  <c r="DK71" i="4"/>
  <c r="DL71" i="4" s="1"/>
  <c r="AQ37" i="4"/>
  <c r="DK37" i="4"/>
  <c r="DL37" i="4" s="1"/>
  <c r="AO60" i="4"/>
  <c r="DN60" i="4"/>
  <c r="AS64" i="4"/>
  <c r="DN64" i="4"/>
  <c r="AO68" i="4"/>
  <c r="DN68" i="4"/>
  <c r="AQ42" i="4"/>
  <c r="DP42" i="4"/>
  <c r="AQ61" i="4"/>
  <c r="AS61" i="4"/>
  <c r="AQ65" i="4"/>
  <c r="AO65" i="4"/>
  <c r="AQ69" i="4"/>
  <c r="DK69" i="4"/>
  <c r="DL69" i="4" s="1"/>
  <c r="AQ58" i="4"/>
  <c r="DP58" i="4"/>
  <c r="AS62" i="4"/>
  <c r="DP62" i="4"/>
  <c r="AQ70" i="4"/>
  <c r="DP70" i="4"/>
  <c r="AO66" i="4"/>
  <c r="DP66" i="4"/>
  <c r="AQ29" i="4"/>
  <c r="AS29" i="4"/>
  <c r="DP59" i="4"/>
  <c r="AQ59" i="4"/>
  <c r="DN63" i="4"/>
  <c r="AS63" i="4"/>
  <c r="AQ67" i="4"/>
  <c r="AO71" i="4"/>
  <c r="DP37" i="4"/>
  <c r="DN37" i="4"/>
  <c r="AS60" i="4"/>
  <c r="AQ64" i="4"/>
  <c r="AS68" i="4"/>
  <c r="AO42" i="4"/>
  <c r="DN42" i="4"/>
  <c r="DK61" i="4"/>
  <c r="DL61" i="4" s="1"/>
  <c r="DN61" i="4"/>
  <c r="AU65" i="4"/>
  <c r="AS65" i="4"/>
  <c r="DP69" i="4"/>
  <c r="DN69" i="4"/>
  <c r="AO58" i="4"/>
  <c r="DN58" i="4"/>
  <c r="AQ62" i="4"/>
  <c r="DN62" i="4"/>
  <c r="AU70" i="4"/>
  <c r="DN70" i="4"/>
  <c r="AS66" i="4"/>
  <c r="DN66" i="4"/>
  <c r="DK29" i="4"/>
  <c r="DL29" i="4" s="1"/>
  <c r="AO59" i="4"/>
  <c r="AO67" i="4"/>
  <c r="AS71" i="4"/>
  <c r="AO37" i="4"/>
  <c r="DK60" i="4"/>
  <c r="DL60" i="4" s="1"/>
  <c r="DK64" i="4"/>
  <c r="DL64" i="4" s="1"/>
  <c r="DK68" i="4"/>
  <c r="DL68" i="4" s="1"/>
  <c r="AS42" i="4"/>
  <c r="DP61" i="4"/>
  <c r="DN65" i="4"/>
  <c r="AO69" i="4"/>
  <c r="AS58" i="4"/>
  <c r="AU62" i="4"/>
  <c r="AS70" i="4"/>
  <c r="AU66" i="4"/>
  <c r="DI29" i="4"/>
  <c r="DI61" i="4"/>
  <c r="DI69" i="4"/>
  <c r="DI42" i="4"/>
  <c r="DI70" i="4"/>
  <c r="DI58" i="4"/>
  <c r="DI63" i="4"/>
  <c r="DI68" i="4"/>
  <c r="DI59" i="4"/>
  <c r="DI67" i="4"/>
  <c r="DI60" i="4"/>
  <c r="DI71" i="4"/>
  <c r="DI37" i="4"/>
  <c r="DI65" i="4"/>
  <c r="DI62" i="4"/>
  <c r="DI66" i="4"/>
  <c r="DI64" i="4"/>
  <c r="FC66" i="4"/>
  <c r="FM66" i="4"/>
  <c r="FN66" i="4" s="1"/>
  <c r="FK66" i="4"/>
  <c r="FL66" i="4" s="1"/>
  <c r="AH66" i="4"/>
  <c r="AL58" i="8" s="1"/>
  <c r="AF66" i="4"/>
  <c r="AJ58" i="8" s="1"/>
  <c r="FC71" i="4"/>
  <c r="FB71" i="4" s="1"/>
  <c r="FK71" i="4"/>
  <c r="FL71" i="4" s="1"/>
  <c r="FM71" i="4"/>
  <c r="FN71" i="4" s="1"/>
  <c r="AF71" i="4"/>
  <c r="AJ63" i="8" s="1"/>
  <c r="FC60" i="4"/>
  <c r="FK60" i="4"/>
  <c r="FL60" i="4" s="1"/>
  <c r="FM60" i="4"/>
  <c r="FN60" i="4" s="1"/>
  <c r="AH60" i="4"/>
  <c r="AL52" i="8" s="1"/>
  <c r="AF60" i="4"/>
  <c r="AJ52" i="8" s="1"/>
  <c r="FC58" i="4"/>
  <c r="FM58" i="4"/>
  <c r="FN58" i="4" s="1"/>
  <c r="FK58" i="4"/>
  <c r="FL58" i="4" s="1"/>
  <c r="AF58" i="4"/>
  <c r="AJ50" i="8" s="1"/>
  <c r="AH58" i="4"/>
  <c r="AL50" i="8" s="1"/>
  <c r="FM70" i="4"/>
  <c r="FN70" i="4" s="1"/>
  <c r="AH70" i="4"/>
  <c r="AL62" i="8" s="1"/>
  <c r="FC61" i="4"/>
  <c r="FF61" i="4" s="1"/>
  <c r="FG61" i="4" s="1"/>
  <c r="FM61" i="4"/>
  <c r="FN61" i="4" s="1"/>
  <c r="FK61" i="4"/>
  <c r="FL61" i="4" s="1"/>
  <c r="AH61" i="4"/>
  <c r="AL53" i="8" s="1"/>
  <c r="AF61" i="4"/>
  <c r="AJ53" i="8" s="1"/>
  <c r="FC69" i="4"/>
  <c r="FM69" i="4"/>
  <c r="FN69" i="4" s="1"/>
  <c r="FK69" i="4"/>
  <c r="FL69" i="4" s="1"/>
  <c r="AH69" i="4"/>
  <c r="AL61" i="8" s="1"/>
  <c r="AF69" i="4"/>
  <c r="AJ61" i="8" s="1"/>
  <c r="FC63" i="4"/>
  <c r="FK63" i="4"/>
  <c r="FL63" i="4" s="1"/>
  <c r="FM63" i="4"/>
  <c r="FN63" i="4" s="1"/>
  <c r="AF63" i="4"/>
  <c r="AJ55" i="8" s="1"/>
  <c r="AH63" i="4"/>
  <c r="AL55" i="8" s="1"/>
  <c r="FC67" i="4"/>
  <c r="FM67" i="4"/>
  <c r="FN67" i="4" s="1"/>
  <c r="FK67" i="4"/>
  <c r="FL67" i="4" s="1"/>
  <c r="AF67" i="4"/>
  <c r="AJ59" i="8" s="1"/>
  <c r="AH67" i="4"/>
  <c r="AL59" i="8" s="1"/>
  <c r="FC68" i="4"/>
  <c r="FM68" i="4"/>
  <c r="FN68" i="4" s="1"/>
  <c r="FK68" i="4"/>
  <c r="FL68" i="4" s="1"/>
  <c r="AF68" i="4"/>
  <c r="AJ60" i="8" s="1"/>
  <c r="AH68" i="4"/>
  <c r="AL60" i="8" s="1"/>
  <c r="FC65" i="4"/>
  <c r="FM65" i="4"/>
  <c r="FN65" i="4" s="1"/>
  <c r="FK65" i="4"/>
  <c r="FL65" i="4" s="1"/>
  <c r="AH65" i="4"/>
  <c r="AL57" i="8" s="1"/>
  <c r="AF65" i="4"/>
  <c r="AJ57" i="8" s="1"/>
  <c r="FC42" i="4"/>
  <c r="FM42" i="4"/>
  <c r="FN42" i="4" s="1"/>
  <c r="FK42" i="4"/>
  <c r="FL42" i="4" s="1"/>
  <c r="AF42" i="4"/>
  <c r="AJ34" i="8" s="1"/>
  <c r="AH42" i="4"/>
  <c r="AL34" i="8" s="1"/>
  <c r="FC62" i="4"/>
  <c r="FM62" i="4"/>
  <c r="FN62" i="4" s="1"/>
  <c r="FK62" i="4"/>
  <c r="FL62" i="4" s="1"/>
  <c r="AH62" i="4"/>
  <c r="AL54" i="8" s="1"/>
  <c r="AF62" i="4"/>
  <c r="AJ54" i="8" s="1"/>
  <c r="FC64" i="4"/>
  <c r="FM64" i="4"/>
  <c r="FN64" i="4" s="1"/>
  <c r="FK64" i="4"/>
  <c r="FL64" i="4" s="1"/>
  <c r="AF64" i="4"/>
  <c r="AJ56" i="8" s="1"/>
  <c r="AH64" i="4"/>
  <c r="AL56" i="8" s="1"/>
  <c r="FC37" i="4"/>
  <c r="FK37" i="4"/>
  <c r="FL37" i="4" s="1"/>
  <c r="FM37" i="4"/>
  <c r="FN37" i="4" s="1"/>
  <c r="AH37" i="4"/>
  <c r="AL29" i="8" s="1"/>
  <c r="AF37" i="4"/>
  <c r="AJ29" i="8" s="1"/>
  <c r="DI12" i="4"/>
  <c r="M4" i="8"/>
  <c r="CR12" i="4"/>
  <c r="CP12" i="4"/>
  <c r="CQ12" i="4" s="1"/>
  <c r="FC59" i="4"/>
  <c r="FD59" i="4" s="1"/>
  <c r="FE59" i="4" s="1"/>
  <c r="FK59" i="4"/>
  <c r="FL59" i="4" s="1"/>
  <c r="FM59" i="4"/>
  <c r="FN59" i="4" s="1"/>
  <c r="AF59" i="4"/>
  <c r="AJ51" i="8" s="1"/>
  <c r="AH59" i="4"/>
  <c r="AL51" i="8" s="1"/>
  <c r="FC70" i="4"/>
  <c r="Z70" i="4" s="1"/>
  <c r="FK70" i="4"/>
  <c r="FL70" i="4" s="1"/>
  <c r="AF70" i="4"/>
  <c r="AJ62" i="8" s="1"/>
  <c r="CX71" i="4"/>
  <c r="CY71" i="4" s="1"/>
  <c r="AH71" i="4"/>
  <c r="CP70" i="4"/>
  <c r="CQ70" i="4" s="1"/>
  <c r="AH12" i="4"/>
  <c r="AL4" i="8" s="1"/>
  <c r="AF12" i="4"/>
  <c r="AJ4" i="8" s="1"/>
  <c r="BO12" i="4"/>
  <c r="CX19" i="4"/>
  <c r="CY19" i="4" s="1"/>
  <c r="CP22" i="4"/>
  <c r="CQ22" i="4" s="1"/>
  <c r="CR22" i="4"/>
  <c r="CS22" i="4" s="1"/>
  <c r="CX22" i="4"/>
  <c r="CY22" i="4" s="1"/>
  <c r="AH22" i="4"/>
  <c r="AL14" i="8" s="1"/>
  <c r="CP26" i="4"/>
  <c r="CQ26" i="4" s="1"/>
  <c r="CX13" i="4"/>
  <c r="CY13" i="4" s="1"/>
  <c r="AH13" i="4"/>
  <c r="AL5" i="8" s="1"/>
  <c r="FC13" i="4"/>
  <c r="FK13" i="4"/>
  <c r="FL13" i="4" s="1"/>
  <c r="AF13" i="4"/>
  <c r="AJ5" i="8" s="1"/>
  <c r="CP28" i="4"/>
  <c r="CQ28" i="4" s="1"/>
  <c r="FC29" i="4"/>
  <c r="FK29" i="4"/>
  <c r="FL29" i="4" s="1"/>
  <c r="FM29" i="4"/>
  <c r="FN29" i="4" s="1"/>
  <c r="AH29" i="4"/>
  <c r="AL21" i="8" s="1"/>
  <c r="AF29" i="4"/>
  <c r="AJ21" i="8" s="1"/>
  <c r="CR27" i="4"/>
  <c r="CS27" i="4" s="1"/>
  <c r="CT27" i="4"/>
  <c r="CU27" i="4" s="1"/>
  <c r="CV27" i="4"/>
  <c r="CW27" i="4" s="1"/>
  <c r="FC17" i="4"/>
  <c r="FK17" i="4"/>
  <c r="FL17" i="4" s="1"/>
  <c r="FM17" i="4"/>
  <c r="FN17" i="4" s="1"/>
  <c r="AH17" i="4"/>
  <c r="AL9" i="8" s="1"/>
  <c r="AF17" i="4"/>
  <c r="AJ9" i="8" s="1"/>
  <c r="CT20" i="4"/>
  <c r="CU20" i="4" s="1"/>
  <c r="CR18" i="4"/>
  <c r="CS18" i="4" s="1"/>
  <c r="CV15" i="4"/>
  <c r="CW15" i="4" s="1"/>
  <c r="CR14" i="4"/>
  <c r="CS14" i="4" s="1"/>
  <c r="FC22" i="4"/>
  <c r="Z22" i="4" s="1"/>
  <c r="FK22" i="4"/>
  <c r="FL22" i="4" s="1"/>
  <c r="AF22" i="4"/>
  <c r="AJ14" i="8" s="1"/>
  <c r="FK14" i="4"/>
  <c r="FL14" i="4" s="1"/>
  <c r="FM14" i="4"/>
  <c r="FN14" i="4" s="1"/>
  <c r="FM12" i="4"/>
  <c r="FK12" i="4"/>
  <c r="GE17" i="4" l="1"/>
  <c r="EH12" i="4"/>
  <c r="EI12" i="4" s="1"/>
  <c r="EI13" i="4" s="1"/>
  <c r="EB13" i="4" s="1"/>
  <c r="BA13" i="4" s="1"/>
  <c r="EH64" i="4"/>
  <c r="EI64" i="4" s="1"/>
  <c r="EI65" i="4" s="1"/>
  <c r="EB65" i="4" s="1"/>
  <c r="BA65" i="4" s="1"/>
  <c r="EH62" i="4"/>
  <c r="EI62" i="4" s="1"/>
  <c r="EI63" i="4" s="1"/>
  <c r="EB63" i="4" s="1"/>
  <c r="BA63" i="4" s="1"/>
  <c r="EH68" i="4"/>
  <c r="EI68" i="4" s="1"/>
  <c r="EI69" i="4" s="1"/>
  <c r="EB69" i="4" s="1"/>
  <c r="BA69" i="4" s="1"/>
  <c r="EH70" i="4"/>
  <c r="EI70" i="4" s="1"/>
  <c r="EI71" i="4" s="1"/>
  <c r="EB71" i="4" s="1"/>
  <c r="BA71" i="4" s="1"/>
  <c r="EH66" i="4"/>
  <c r="EI66" i="4" s="1"/>
  <c r="EI67" i="4" s="1"/>
  <c r="EB67" i="4" s="1"/>
  <c r="BA67" i="4" s="1"/>
  <c r="EH58" i="4"/>
  <c r="EI58" i="4" s="1"/>
  <c r="EI59" i="4" s="1"/>
  <c r="EB59" i="4" s="1"/>
  <c r="BA59" i="4" s="1"/>
  <c r="GE71" i="4"/>
  <c r="GE61" i="4"/>
  <c r="EB64" i="4"/>
  <c r="BA64" i="4" s="1"/>
  <c r="EB62" i="4"/>
  <c r="BA62" i="4" s="1"/>
  <c r="EB68" i="4"/>
  <c r="BA68" i="4" s="1"/>
  <c r="EB70" i="4"/>
  <c r="BA70" i="4" s="1"/>
  <c r="AB61" i="4"/>
  <c r="AF53" i="8" s="1"/>
  <c r="GE62" i="4"/>
  <c r="GE67" i="4"/>
  <c r="GE65" i="4"/>
  <c r="GE37" i="4"/>
  <c r="GE59" i="4"/>
  <c r="GE63" i="4"/>
  <c r="GE29" i="4"/>
  <c r="EH60" i="4"/>
  <c r="EI60" i="4" s="1"/>
  <c r="GE69" i="4"/>
  <c r="GE58" i="4"/>
  <c r="GE42" i="4"/>
  <c r="GE66" i="4"/>
  <c r="GE68" i="4"/>
  <c r="GE60" i="4"/>
  <c r="GE70" i="4"/>
  <c r="GE64" i="4"/>
  <c r="EB66" i="4"/>
  <c r="BA66" i="4" s="1"/>
  <c r="EB58" i="4"/>
  <c r="BA58" i="4" s="1"/>
  <c r="FD61" i="4"/>
  <c r="FE61" i="4" s="1"/>
  <c r="AD71" i="4"/>
  <c r="AH63" i="8" s="1"/>
  <c r="AD61" i="4"/>
  <c r="AH53" i="8" s="1"/>
  <c r="FB61" i="4"/>
  <c r="FH71" i="4"/>
  <c r="FI71" i="4" s="1"/>
  <c r="FH61" i="4"/>
  <c r="FI61" i="4" s="1"/>
  <c r="Z61" i="4"/>
  <c r="FF70" i="4"/>
  <c r="FG70" i="4" s="1"/>
  <c r="FH70" i="4"/>
  <c r="FI70" i="4" s="1"/>
  <c r="AD70" i="4"/>
  <c r="AH62" i="8" s="1"/>
  <c r="AB70" i="4"/>
  <c r="AF62" i="8" s="1"/>
  <c r="FB42" i="4"/>
  <c r="FD42" i="4"/>
  <c r="FE42" i="4" s="1"/>
  <c r="FF42" i="4"/>
  <c r="FG42" i="4" s="1"/>
  <c r="FH42" i="4"/>
  <c r="FI42" i="4" s="1"/>
  <c r="AB42" i="4"/>
  <c r="AF34" i="8" s="1"/>
  <c r="AD42" i="4"/>
  <c r="AH34" i="8" s="1"/>
  <c r="Z42" i="4"/>
  <c r="FB63" i="4"/>
  <c r="FH63" i="4"/>
  <c r="FI63" i="4" s="1"/>
  <c r="FD63" i="4"/>
  <c r="FE63" i="4" s="1"/>
  <c r="FF63" i="4"/>
  <c r="FG63" i="4" s="1"/>
  <c r="AD63" i="4"/>
  <c r="AH55" i="8" s="1"/>
  <c r="AB63" i="4"/>
  <c r="AF55" i="8" s="1"/>
  <c r="Z63" i="4"/>
  <c r="FB67" i="4"/>
  <c r="FH67" i="4"/>
  <c r="FI67" i="4" s="1"/>
  <c r="FD67" i="4"/>
  <c r="FE67" i="4" s="1"/>
  <c r="FF67" i="4"/>
  <c r="FG67" i="4" s="1"/>
  <c r="AD67" i="4"/>
  <c r="AH59" i="8" s="1"/>
  <c r="AB67" i="4"/>
  <c r="AF59" i="8" s="1"/>
  <c r="Z67" i="4"/>
  <c r="FB65" i="4"/>
  <c r="FH65" i="4"/>
  <c r="FI65" i="4" s="1"/>
  <c r="FD65" i="4"/>
  <c r="FE65" i="4" s="1"/>
  <c r="FF65" i="4"/>
  <c r="FG65" i="4" s="1"/>
  <c r="AB65" i="4"/>
  <c r="AF57" i="8" s="1"/>
  <c r="AD65" i="4"/>
  <c r="AH57" i="8" s="1"/>
  <c r="Z65" i="4"/>
  <c r="FB69" i="4"/>
  <c r="FH69" i="4"/>
  <c r="FI69" i="4" s="1"/>
  <c r="FD69" i="4"/>
  <c r="FE69" i="4" s="1"/>
  <c r="FF69" i="4"/>
  <c r="FG69" i="4" s="1"/>
  <c r="AB69" i="4"/>
  <c r="AF61" i="8" s="1"/>
  <c r="AD69" i="4"/>
  <c r="AH61" i="8" s="1"/>
  <c r="Z69" i="4"/>
  <c r="FB58" i="4"/>
  <c r="FD58" i="4"/>
  <c r="FE58" i="4" s="1"/>
  <c r="FH58" i="4"/>
  <c r="FI58" i="4" s="1"/>
  <c r="FF58" i="4"/>
  <c r="FG58" i="4" s="1"/>
  <c r="AB58" i="4"/>
  <c r="AF50" i="8" s="1"/>
  <c r="AD58" i="4"/>
  <c r="AH50" i="8" s="1"/>
  <c r="Z58" i="4"/>
  <c r="FB62" i="4"/>
  <c r="FD62" i="4"/>
  <c r="FE62" i="4" s="1"/>
  <c r="FF62" i="4"/>
  <c r="FG62" i="4" s="1"/>
  <c r="FH62" i="4"/>
  <c r="FI62" i="4" s="1"/>
  <c r="AD62" i="4"/>
  <c r="AH54" i="8" s="1"/>
  <c r="AB62" i="4"/>
  <c r="AF54" i="8" s="1"/>
  <c r="Z62" i="4"/>
  <c r="FB64" i="4"/>
  <c r="FD64" i="4"/>
  <c r="FE64" i="4" s="1"/>
  <c r="FH64" i="4"/>
  <c r="FI64" i="4" s="1"/>
  <c r="FF64" i="4"/>
  <c r="FG64" i="4" s="1"/>
  <c r="AD64" i="4"/>
  <c r="AH56" i="8" s="1"/>
  <c r="AB64" i="4"/>
  <c r="AF56" i="8" s="1"/>
  <c r="Z64" i="4"/>
  <c r="FB68" i="4"/>
  <c r="FD68" i="4"/>
  <c r="FE68" i="4" s="1"/>
  <c r="FF68" i="4"/>
  <c r="FG68" i="4" s="1"/>
  <c r="FH68" i="4"/>
  <c r="FI68" i="4" s="1"/>
  <c r="AB68" i="4"/>
  <c r="AF60" i="8" s="1"/>
  <c r="AD68" i="4"/>
  <c r="AH60" i="8" s="1"/>
  <c r="Z68" i="4"/>
  <c r="FB60" i="4"/>
  <c r="FF60" i="4"/>
  <c r="FG60" i="4" s="1"/>
  <c r="FH60" i="4"/>
  <c r="FI60" i="4" s="1"/>
  <c r="FD60" i="4"/>
  <c r="FE60" i="4" s="1"/>
  <c r="AB60" i="4"/>
  <c r="AF52" i="8" s="1"/>
  <c r="AD60" i="4"/>
  <c r="AH52" i="8" s="1"/>
  <c r="Z60" i="4"/>
  <c r="FD71" i="4"/>
  <c r="FE71" i="4" s="1"/>
  <c r="FF71" i="4"/>
  <c r="FG71" i="4" s="1"/>
  <c r="AB71" i="4"/>
  <c r="AF63" i="8" s="1"/>
  <c r="Z71" i="4"/>
  <c r="AD63" i="8" s="1"/>
  <c r="FB66" i="4"/>
  <c r="FD66" i="4"/>
  <c r="FE66" i="4" s="1"/>
  <c r="FF66" i="4"/>
  <c r="FG66" i="4" s="1"/>
  <c r="FH66" i="4"/>
  <c r="FI66" i="4" s="1"/>
  <c r="AD66" i="4"/>
  <c r="AH58" i="8" s="1"/>
  <c r="AB66" i="4"/>
  <c r="AF58" i="8" s="1"/>
  <c r="Z66" i="4"/>
  <c r="BX12" i="4"/>
  <c r="BY12" i="4"/>
  <c r="BW12" i="4"/>
  <c r="FF22" i="4"/>
  <c r="FG22" i="4" s="1"/>
  <c r="FD22" i="4"/>
  <c r="FE22" i="4" s="1"/>
  <c r="FB37" i="4"/>
  <c r="FH37" i="4"/>
  <c r="FI37" i="4" s="1"/>
  <c r="FD37" i="4"/>
  <c r="FE37" i="4" s="1"/>
  <c r="FF37" i="4"/>
  <c r="FG37" i="4" s="1"/>
  <c r="AB37" i="4"/>
  <c r="AF29" i="8" s="1"/>
  <c r="AD37" i="4"/>
  <c r="AH29" i="8" s="1"/>
  <c r="Z37" i="4"/>
  <c r="AB22" i="4"/>
  <c r="AF14" i="8" s="1"/>
  <c r="BP12" i="4"/>
  <c r="BV12" i="4"/>
  <c r="FH59" i="4"/>
  <c r="FI59" i="4" s="1"/>
  <c r="AB59" i="4"/>
  <c r="AF51" i="8" s="1"/>
  <c r="FB59" i="4"/>
  <c r="Z59" i="4"/>
  <c r="FF59" i="4"/>
  <c r="FG59" i="4" s="1"/>
  <c r="AD59" i="4"/>
  <c r="AH51" i="8" s="1"/>
  <c r="FB70" i="4"/>
  <c r="FD70" i="4"/>
  <c r="FE70" i="4" s="1"/>
  <c r="AD62" i="8"/>
  <c r="AL63" i="8"/>
  <c r="AD14" i="8"/>
  <c r="FD13" i="4"/>
  <c r="FE13" i="4" s="1"/>
  <c r="FF13" i="4"/>
  <c r="FG13" i="4" s="1"/>
  <c r="FH13" i="4"/>
  <c r="FI13" i="4" s="1"/>
  <c r="FB13" i="4"/>
  <c r="AB13" i="4"/>
  <c r="AF5" i="8" s="1"/>
  <c r="AD13" i="4"/>
  <c r="AH5" i="8" s="1"/>
  <c r="Z13" i="4"/>
  <c r="FB17" i="4"/>
  <c r="FD17" i="4"/>
  <c r="FE17" i="4" s="1"/>
  <c r="FF17" i="4"/>
  <c r="FG17" i="4" s="1"/>
  <c r="FH17" i="4"/>
  <c r="FI17" i="4" s="1"/>
  <c r="AB17" i="4"/>
  <c r="AF9" i="8" s="1"/>
  <c r="AD17" i="4"/>
  <c r="AH9" i="8" s="1"/>
  <c r="Z17" i="4"/>
  <c r="FB22" i="4"/>
  <c r="FH22" i="4"/>
  <c r="FI22" i="4" s="1"/>
  <c r="AD22" i="4"/>
  <c r="AH14" i="8" s="1"/>
  <c r="FB29" i="4"/>
  <c r="FH29" i="4"/>
  <c r="FI29" i="4" s="1"/>
  <c r="FD29" i="4"/>
  <c r="FE29" i="4" s="1"/>
  <c r="FF29" i="4"/>
  <c r="FG29" i="4" s="1"/>
  <c r="AD29" i="4"/>
  <c r="AH21" i="8" s="1"/>
  <c r="AB29" i="4"/>
  <c r="AF21" i="8" s="1"/>
  <c r="Z29" i="4"/>
  <c r="CS73" i="4"/>
  <c r="F9" i="3" s="1"/>
  <c r="CS75" i="4"/>
  <c r="O9" i="3" s="1"/>
  <c r="EB12" i="4" l="1"/>
  <c r="BA12" i="4" s="1"/>
  <c r="EI61" i="4"/>
  <c r="EB61" i="4" s="1"/>
  <c r="BA61" i="4" s="1"/>
  <c r="EB60" i="4"/>
  <c r="BA60" i="4" s="1"/>
  <c r="GQ61" i="4"/>
  <c r="DJ61" i="4" s="1"/>
  <c r="GI71" i="4"/>
  <c r="GQ71" i="4"/>
  <c r="DJ71" i="4" s="1"/>
  <c r="GI61" i="4"/>
  <c r="GQ70" i="4"/>
  <c r="DJ70" i="4" s="1"/>
  <c r="AD53" i="8"/>
  <c r="AD56" i="8"/>
  <c r="GQ64" i="4"/>
  <c r="DJ64" i="4" s="1"/>
  <c r="GI64" i="4"/>
  <c r="GQ65" i="4"/>
  <c r="DJ65" i="4" s="1"/>
  <c r="AD57" i="8"/>
  <c r="GI65" i="4"/>
  <c r="GI70" i="4"/>
  <c r="GQ68" i="4"/>
  <c r="DJ68" i="4" s="1"/>
  <c r="GI68" i="4"/>
  <c r="AD60" i="8"/>
  <c r="GI69" i="4"/>
  <c r="AD61" i="8"/>
  <c r="GQ69" i="4"/>
  <c r="DJ69" i="4" s="1"/>
  <c r="GQ42" i="4"/>
  <c r="DJ42" i="4" s="1"/>
  <c r="GI42" i="4"/>
  <c r="AD34" i="8"/>
  <c r="AD52" i="8"/>
  <c r="GQ60" i="4"/>
  <c r="DJ60" i="4" s="1"/>
  <c r="GI60" i="4"/>
  <c r="GQ58" i="4"/>
  <c r="DJ58" i="4" s="1"/>
  <c r="GI58" i="4"/>
  <c r="AD50" i="8"/>
  <c r="GQ63" i="4"/>
  <c r="DJ63" i="4" s="1"/>
  <c r="GI63" i="4"/>
  <c r="AD55" i="8"/>
  <c r="AD58" i="8"/>
  <c r="GQ66" i="4"/>
  <c r="DJ66" i="4" s="1"/>
  <c r="GI66" i="4"/>
  <c r="GQ62" i="4"/>
  <c r="DJ62" i="4" s="1"/>
  <c r="GI62" i="4"/>
  <c r="AD54" i="8"/>
  <c r="GQ67" i="4"/>
  <c r="DJ67" i="4" s="1"/>
  <c r="GI67" i="4"/>
  <c r="AD59" i="8"/>
  <c r="GQ37" i="4"/>
  <c r="DJ37" i="4" s="1"/>
  <c r="GI37" i="4"/>
  <c r="AD29" i="8"/>
  <c r="EU73" i="4"/>
  <c r="GI59" i="4"/>
  <c r="AD51" i="8"/>
  <c r="GQ59" i="4"/>
  <c r="DJ59" i="4" s="1"/>
  <c r="GI22" i="4"/>
  <c r="GQ22" i="4"/>
  <c r="DJ22" i="4" s="1"/>
  <c r="GI29" i="4"/>
  <c r="AD21" i="8"/>
  <c r="GQ29" i="4"/>
  <c r="DJ29" i="4" s="1"/>
  <c r="AD5" i="8"/>
  <c r="GQ13" i="4"/>
  <c r="DJ13" i="4" s="1"/>
  <c r="GI13" i="4"/>
  <c r="AD9" i="8"/>
  <c r="GI17" i="4"/>
  <c r="GQ17" i="4"/>
  <c r="DJ17" i="4" s="1"/>
  <c r="GC13" i="4"/>
  <c r="GC17" i="4"/>
  <c r="GC22" i="4"/>
  <c r="GC29" i="4"/>
  <c r="GC37" i="4"/>
  <c r="GC42" i="4"/>
  <c r="GC58" i="4"/>
  <c r="GC59" i="4"/>
  <c r="GC60" i="4"/>
  <c r="GC61" i="4"/>
  <c r="GC62" i="4"/>
  <c r="GC63" i="4"/>
  <c r="GC64" i="4"/>
  <c r="GC65" i="4"/>
  <c r="GC66" i="4"/>
  <c r="GC67" i="4"/>
  <c r="GC68" i="4"/>
  <c r="GC69" i="4"/>
  <c r="GC70" i="4"/>
  <c r="GC71" i="4"/>
  <c r="GB13" i="4"/>
  <c r="GB14" i="4"/>
  <c r="GB15" i="4"/>
  <c r="GB16" i="4"/>
  <c r="GB17" i="4"/>
  <c r="GB18" i="4"/>
  <c r="GB19" i="4"/>
  <c r="GB20" i="4"/>
  <c r="GB21" i="4"/>
  <c r="GB22" i="4"/>
  <c r="GB23" i="4"/>
  <c r="GB24" i="4"/>
  <c r="GB25" i="4"/>
  <c r="GB26" i="4"/>
  <c r="GB27" i="4"/>
  <c r="GB28" i="4"/>
  <c r="GB29" i="4"/>
  <c r="GB30" i="4"/>
  <c r="GB31" i="4"/>
  <c r="GB32" i="4"/>
  <c r="GB33" i="4"/>
  <c r="GB34" i="4"/>
  <c r="GB35" i="4"/>
  <c r="GB36" i="4"/>
  <c r="GB37" i="4"/>
  <c r="GB38" i="4"/>
  <c r="GB39" i="4"/>
  <c r="GB40" i="4"/>
  <c r="GB41" i="4"/>
  <c r="GB42" i="4"/>
  <c r="GB43" i="4"/>
  <c r="GB44" i="4"/>
  <c r="GB45" i="4"/>
  <c r="GB46" i="4"/>
  <c r="GB47" i="4"/>
  <c r="GB48" i="4"/>
  <c r="GB49" i="4"/>
  <c r="GB50" i="4"/>
  <c r="GB51" i="4"/>
  <c r="GB52" i="4"/>
  <c r="GB53" i="4"/>
  <c r="GB54" i="4"/>
  <c r="GB55" i="4"/>
  <c r="GB56" i="4"/>
  <c r="GB57" i="4"/>
  <c r="GB58" i="4"/>
  <c r="GB59" i="4"/>
  <c r="GB60" i="4"/>
  <c r="GB61" i="4"/>
  <c r="GB62" i="4"/>
  <c r="GB63" i="4"/>
  <c r="GB64" i="4"/>
  <c r="GB65" i="4"/>
  <c r="GB66" i="4"/>
  <c r="GB67" i="4"/>
  <c r="GB68" i="4"/>
  <c r="GB69" i="4"/>
  <c r="GB70" i="4"/>
  <c r="GB71" i="4"/>
  <c r="GB12" i="4"/>
  <c r="CI12" i="4"/>
  <c r="CG12" i="4"/>
  <c r="CF12" i="4"/>
  <c r="CE12" i="4"/>
  <c r="CD12" i="4" l="1"/>
  <c r="GA13" i="4"/>
  <c r="GA14" i="4"/>
  <c r="GA15" i="4"/>
  <c r="GA16" i="4"/>
  <c r="GA17" i="4"/>
  <c r="GA18" i="4"/>
  <c r="GA19" i="4"/>
  <c r="GA20" i="4"/>
  <c r="GA21" i="4"/>
  <c r="GA22" i="4"/>
  <c r="GA23" i="4"/>
  <c r="GA24" i="4"/>
  <c r="GA25" i="4"/>
  <c r="GA26" i="4"/>
  <c r="GA27" i="4"/>
  <c r="GA28" i="4"/>
  <c r="GA29" i="4"/>
  <c r="GA30" i="4"/>
  <c r="GA31" i="4"/>
  <c r="GA32" i="4"/>
  <c r="GA33" i="4"/>
  <c r="GA34" i="4"/>
  <c r="GA35" i="4"/>
  <c r="GA36" i="4"/>
  <c r="GA37" i="4"/>
  <c r="GA38" i="4"/>
  <c r="GA39" i="4"/>
  <c r="GA40" i="4"/>
  <c r="GA41" i="4"/>
  <c r="GA42" i="4"/>
  <c r="GA43" i="4"/>
  <c r="GA44" i="4"/>
  <c r="GA45" i="4"/>
  <c r="GA46" i="4"/>
  <c r="GA47" i="4"/>
  <c r="GA48" i="4"/>
  <c r="GA49" i="4"/>
  <c r="GA50" i="4"/>
  <c r="GA51" i="4"/>
  <c r="GA52" i="4"/>
  <c r="GA53" i="4"/>
  <c r="GA54" i="4"/>
  <c r="GA55" i="4"/>
  <c r="GA56" i="4"/>
  <c r="GA57" i="4"/>
  <c r="GA58" i="4"/>
  <c r="GA59" i="4"/>
  <c r="GA60" i="4"/>
  <c r="GA61" i="4"/>
  <c r="GA62" i="4"/>
  <c r="GA63" i="4"/>
  <c r="GA64" i="4"/>
  <c r="GA65" i="4"/>
  <c r="GA66" i="4"/>
  <c r="GA67" i="4"/>
  <c r="GA68" i="4"/>
  <c r="GA69" i="4"/>
  <c r="GA70" i="4"/>
  <c r="GA71" i="4"/>
  <c r="GA12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13" i="4"/>
  <c r="FZ14" i="4"/>
  <c r="FZ15" i="4"/>
  <c r="FZ16" i="4"/>
  <c r="FZ17" i="4"/>
  <c r="FZ18" i="4"/>
  <c r="FZ19" i="4"/>
  <c r="FZ20" i="4"/>
  <c r="FZ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12" i="4"/>
  <c r="CB12" i="4"/>
  <c r="P10" i="4"/>
  <c r="FZ72" i="4" l="1"/>
  <c r="I22" i="4"/>
  <c r="I37" i="4"/>
  <c r="I63" i="4"/>
  <c r="BO63" i="4" s="1"/>
  <c r="CE63" i="4" s="1"/>
  <c r="I64" i="4"/>
  <c r="BO64" i="4" s="1"/>
  <c r="CE64" i="4" s="1"/>
  <c r="I60" i="4"/>
  <c r="BO60" i="4" s="1"/>
  <c r="CE60" i="4" s="1"/>
  <c r="I70" i="4"/>
  <c r="I62" i="4"/>
  <c r="BO62" i="4" s="1"/>
  <c r="CE62" i="4" s="1"/>
  <c r="I59" i="4"/>
  <c r="I71" i="4"/>
  <c r="I61" i="4"/>
  <c r="I58" i="4"/>
  <c r="I42" i="4"/>
  <c r="I67" i="4"/>
  <c r="BO67" i="4" s="1"/>
  <c r="CE67" i="4" s="1"/>
  <c r="I69" i="4"/>
  <c r="BO69" i="4" s="1"/>
  <c r="CE69" i="4" s="1"/>
  <c r="I68" i="4"/>
  <c r="BO68" i="4" s="1"/>
  <c r="CE68" i="4" s="1"/>
  <c r="I66" i="4"/>
  <c r="BO66" i="4" s="1"/>
  <c r="CE66" i="4" s="1"/>
  <c r="I29" i="4"/>
  <c r="I65" i="4"/>
  <c r="BO65" i="4" s="1"/>
  <c r="CE65" i="4" s="1"/>
  <c r="CB73" i="4"/>
  <c r="F67" i="3" s="1"/>
  <c r="Z67" i="3" s="1"/>
  <c r="CC66" i="4" l="1"/>
  <c r="BY66" i="4"/>
  <c r="BV66" i="4"/>
  <c r="BW66" i="4"/>
  <c r="BX66" i="4"/>
  <c r="CI66" i="4"/>
  <c r="CG66" i="4"/>
  <c r="CF66" i="4"/>
  <c r="CD66" i="4"/>
  <c r="CC68" i="4"/>
  <c r="BY68" i="4"/>
  <c r="BV68" i="4"/>
  <c r="BW68" i="4"/>
  <c r="BX68" i="4"/>
  <c r="CI68" i="4"/>
  <c r="CF68" i="4"/>
  <c r="CG68" i="4"/>
  <c r="CD68" i="4"/>
  <c r="CC62" i="4"/>
  <c r="BY62" i="4"/>
  <c r="BV62" i="4"/>
  <c r="BW62" i="4"/>
  <c r="BX62" i="4"/>
  <c r="CI62" i="4"/>
  <c r="CG62" i="4"/>
  <c r="CF62" i="4"/>
  <c r="CD62" i="4"/>
  <c r="CC63" i="4"/>
  <c r="BY63" i="4"/>
  <c r="BV63" i="4"/>
  <c r="BW63" i="4"/>
  <c r="BX63" i="4"/>
  <c r="CG63" i="4"/>
  <c r="CI63" i="4"/>
  <c r="CD63" i="4"/>
  <c r="CF63" i="4"/>
  <c r="CC69" i="4"/>
  <c r="BY69" i="4"/>
  <c r="BV69" i="4"/>
  <c r="BW69" i="4"/>
  <c r="BX69" i="4"/>
  <c r="CG69" i="4"/>
  <c r="CD69" i="4"/>
  <c r="CI69" i="4"/>
  <c r="CF69" i="4"/>
  <c r="CC65" i="4"/>
  <c r="BY65" i="4"/>
  <c r="BV65" i="4"/>
  <c r="BW65" i="4"/>
  <c r="BX65" i="4"/>
  <c r="CG65" i="4"/>
  <c r="CD65" i="4"/>
  <c r="CI65" i="4"/>
  <c r="CF65" i="4"/>
  <c r="CC67" i="4"/>
  <c r="BY67" i="4"/>
  <c r="BV67" i="4"/>
  <c r="BW67" i="4"/>
  <c r="BX67" i="4"/>
  <c r="CG67" i="4"/>
  <c r="CI67" i="4"/>
  <c r="CD67" i="4"/>
  <c r="CF67" i="4"/>
  <c r="CC60" i="4"/>
  <c r="BY60" i="4"/>
  <c r="BV60" i="4"/>
  <c r="BW60" i="4"/>
  <c r="BX60" i="4"/>
  <c r="CI60" i="4"/>
  <c r="CF60" i="4"/>
  <c r="CG60" i="4"/>
  <c r="CD60" i="4"/>
  <c r="CC64" i="4"/>
  <c r="BY64" i="4"/>
  <c r="BV64" i="4"/>
  <c r="BW64" i="4"/>
  <c r="BX64" i="4"/>
  <c r="CI64" i="4"/>
  <c r="CF64" i="4"/>
  <c r="CG64" i="4"/>
  <c r="CD64" i="4"/>
  <c r="M60" i="8"/>
  <c r="M54" i="8"/>
  <c r="M57" i="8"/>
  <c r="M56" i="8"/>
  <c r="M58" i="8"/>
  <c r="M59" i="8"/>
  <c r="M61" i="8"/>
  <c r="M52" i="8"/>
  <c r="M55" i="8"/>
  <c r="M34" i="8"/>
  <c r="BO42" i="4"/>
  <c r="CE42" i="4" s="1"/>
  <c r="M29" i="8"/>
  <c r="BO37" i="4"/>
  <c r="CE37" i="4" s="1"/>
  <c r="M21" i="8"/>
  <c r="BO29" i="4"/>
  <c r="CE29" i="4" s="1"/>
  <c r="M14" i="8"/>
  <c r="BO22" i="4"/>
  <c r="CE22" i="4" s="1"/>
  <c r="M9" i="8"/>
  <c r="BO17" i="4"/>
  <c r="CE17" i="4" s="1"/>
  <c r="M5" i="8"/>
  <c r="BO13" i="4"/>
  <c r="CE13" i="4" s="1"/>
  <c r="M50" i="8"/>
  <c r="BO58" i="4"/>
  <c r="CE58" i="4" s="1"/>
  <c r="M51" i="8"/>
  <c r="BO59" i="4"/>
  <c r="CE59" i="4" s="1"/>
  <c r="M53" i="8"/>
  <c r="BO61" i="4"/>
  <c r="CE61" i="4" s="1"/>
  <c r="M63" i="8"/>
  <c r="BO71" i="4"/>
  <c r="CE71" i="4" s="1"/>
  <c r="M62" i="8"/>
  <c r="BO70" i="4"/>
  <c r="CE70" i="4" s="1"/>
  <c r="D130" i="3"/>
  <c r="F130" i="3" s="1"/>
  <c r="B4" i="8"/>
  <c r="K63" i="8"/>
  <c r="K62" i="8"/>
  <c r="K61" i="8"/>
  <c r="K60" i="8"/>
  <c r="K59" i="8"/>
  <c r="K58" i="8"/>
  <c r="K57" i="8"/>
  <c r="K56" i="8"/>
  <c r="K55" i="8"/>
  <c r="K54" i="8"/>
  <c r="K53" i="8"/>
  <c r="K52" i="8"/>
  <c r="K51" i="8"/>
  <c r="K50" i="8"/>
  <c r="K49" i="8"/>
  <c r="K48" i="8"/>
  <c r="K47" i="8"/>
  <c r="K46" i="8"/>
  <c r="K45" i="8"/>
  <c r="K44" i="8"/>
  <c r="K43" i="8"/>
  <c r="K42" i="8"/>
  <c r="K41" i="8"/>
  <c r="K40" i="8"/>
  <c r="K39" i="8"/>
  <c r="K38" i="8"/>
  <c r="K37" i="8"/>
  <c r="K36" i="8"/>
  <c r="K35" i="8"/>
  <c r="K34" i="8"/>
  <c r="K33" i="8"/>
  <c r="K32" i="8"/>
  <c r="K31" i="8"/>
  <c r="K30" i="8"/>
  <c r="K29" i="8"/>
  <c r="K28" i="8"/>
  <c r="K27" i="8"/>
  <c r="K26" i="8"/>
  <c r="K25" i="8"/>
  <c r="K24" i="8"/>
  <c r="K23" i="8"/>
  <c r="K22" i="8"/>
  <c r="K21" i="8"/>
  <c r="K20" i="8"/>
  <c r="K19" i="8"/>
  <c r="K18" i="8"/>
  <c r="K17" i="8"/>
  <c r="K16" i="8"/>
  <c r="K15" i="8"/>
  <c r="K14" i="8"/>
  <c r="K13" i="8"/>
  <c r="K12" i="8"/>
  <c r="K11" i="8"/>
  <c r="K10" i="8"/>
  <c r="K9" i="8"/>
  <c r="K8" i="8"/>
  <c r="K7" i="8"/>
  <c r="K6" i="8"/>
  <c r="K5" i="8"/>
  <c r="K4" i="8"/>
  <c r="J63" i="8"/>
  <c r="J62" i="8"/>
  <c r="J61" i="8"/>
  <c r="J60" i="8"/>
  <c r="J59" i="8"/>
  <c r="J58" i="8"/>
  <c r="J57" i="8"/>
  <c r="J56" i="8"/>
  <c r="J55" i="8"/>
  <c r="J54" i="8"/>
  <c r="J53" i="8"/>
  <c r="J52" i="8"/>
  <c r="J51" i="8"/>
  <c r="J50" i="8"/>
  <c r="J49" i="8"/>
  <c r="J48" i="8"/>
  <c r="J47" i="8"/>
  <c r="J46" i="8"/>
  <c r="J45" i="8"/>
  <c r="J44" i="8"/>
  <c r="J43" i="8"/>
  <c r="J42" i="8"/>
  <c r="J41" i="8"/>
  <c r="J40" i="8"/>
  <c r="J39" i="8"/>
  <c r="J38" i="8"/>
  <c r="J37" i="8"/>
  <c r="J36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J22" i="8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8" i="8"/>
  <c r="J7" i="8"/>
  <c r="J6" i="8"/>
  <c r="J5" i="8"/>
  <c r="J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I6" i="8"/>
  <c r="I5" i="8"/>
  <c r="I4" i="8"/>
  <c r="G1" i="8"/>
  <c r="I1" i="8"/>
  <c r="H63" i="8"/>
  <c r="H62" i="8"/>
  <c r="H61" i="8"/>
  <c r="H60" i="8"/>
  <c r="H59" i="8"/>
  <c r="H58" i="8"/>
  <c r="H57" i="8"/>
  <c r="H56" i="8"/>
  <c r="H55" i="8"/>
  <c r="H54" i="8"/>
  <c r="H53" i="8"/>
  <c r="H52" i="8"/>
  <c r="H51" i="8"/>
  <c r="H50" i="8"/>
  <c r="H34" i="8"/>
  <c r="H29" i="8"/>
  <c r="H21" i="8"/>
  <c r="H14" i="8"/>
  <c r="H9" i="8"/>
  <c r="H5" i="8"/>
  <c r="CC71" i="4" l="1"/>
  <c r="BY71" i="4"/>
  <c r="BV71" i="4"/>
  <c r="BW71" i="4"/>
  <c r="BX71" i="4"/>
  <c r="CG71" i="4"/>
  <c r="CI71" i="4"/>
  <c r="CD71" i="4"/>
  <c r="CF71" i="4"/>
  <c r="CC70" i="4"/>
  <c r="BY70" i="4"/>
  <c r="BV70" i="4"/>
  <c r="BX70" i="4"/>
  <c r="BW70" i="4"/>
  <c r="CI70" i="4"/>
  <c r="CG70" i="4"/>
  <c r="CF70" i="4"/>
  <c r="CD70" i="4"/>
  <c r="CC61" i="4"/>
  <c r="BY61" i="4"/>
  <c r="BW61" i="4"/>
  <c r="BV61" i="4"/>
  <c r="BX61" i="4"/>
  <c r="CG61" i="4"/>
  <c r="CD61" i="4"/>
  <c r="CI61" i="4"/>
  <c r="CF61" i="4"/>
  <c r="CC58" i="4"/>
  <c r="BY58" i="4"/>
  <c r="BV58" i="4"/>
  <c r="BW58" i="4"/>
  <c r="BX58" i="4"/>
  <c r="CI58" i="4"/>
  <c r="CF58" i="4"/>
  <c r="CG58" i="4"/>
  <c r="CD58" i="4"/>
  <c r="CC17" i="4"/>
  <c r="BY17" i="4"/>
  <c r="BV17" i="4"/>
  <c r="BW17" i="4"/>
  <c r="BX17" i="4"/>
  <c r="CD17" i="4"/>
  <c r="CF17" i="4"/>
  <c r="CG17" i="4"/>
  <c r="CI17" i="4"/>
  <c r="CC29" i="4"/>
  <c r="BY29" i="4"/>
  <c r="BV29" i="4"/>
  <c r="BW29" i="4"/>
  <c r="BX29" i="4"/>
  <c r="CF29" i="4"/>
  <c r="CI29" i="4"/>
  <c r="CD29" i="4"/>
  <c r="CG29" i="4"/>
  <c r="CC42" i="4"/>
  <c r="BY42" i="4"/>
  <c r="BW42" i="4"/>
  <c r="BV42" i="4"/>
  <c r="BX42" i="4"/>
  <c r="CI42" i="4"/>
  <c r="CF42" i="4"/>
  <c r="CG42" i="4"/>
  <c r="CD42" i="4"/>
  <c r="CC22" i="4"/>
  <c r="BY22" i="4"/>
  <c r="BV22" i="4"/>
  <c r="BW22" i="4"/>
  <c r="BX22" i="4"/>
  <c r="CG22" i="4"/>
  <c r="CI22" i="4"/>
  <c r="CD22" i="4"/>
  <c r="CF22" i="4"/>
  <c r="CC37" i="4"/>
  <c r="BY37" i="4"/>
  <c r="BW37" i="4"/>
  <c r="BV37" i="4"/>
  <c r="BX37" i="4"/>
  <c r="CG37" i="4"/>
  <c r="CD37" i="4"/>
  <c r="CI37" i="4"/>
  <c r="CF37" i="4"/>
  <c r="CC59" i="4"/>
  <c r="BY59" i="4"/>
  <c r="BW59" i="4"/>
  <c r="BV59" i="4"/>
  <c r="BX59" i="4"/>
  <c r="CG59" i="4"/>
  <c r="CD59" i="4"/>
  <c r="CI59" i="4"/>
  <c r="CF59" i="4"/>
  <c r="CC13" i="4"/>
  <c r="BX13" i="4"/>
  <c r="BV13" i="4"/>
  <c r="BY13" i="4"/>
  <c r="CI13" i="4"/>
  <c r="CF13" i="4"/>
  <c r="CG13" i="4"/>
  <c r="BW13" i="4"/>
  <c r="CD13" i="4"/>
  <c r="BZ14" i="4"/>
  <c r="CC12" i="4"/>
  <c r="CZ12" i="4" l="1"/>
  <c r="DE20" i="4" l="1"/>
  <c r="DE28" i="4"/>
  <c r="DE36" i="4"/>
  <c r="DE44" i="4"/>
  <c r="DE52" i="4"/>
  <c r="DE60" i="4"/>
  <c r="DE68" i="4"/>
  <c r="DE21" i="4"/>
  <c r="DE29" i="4"/>
  <c r="DE37" i="4"/>
  <c r="DE45" i="4"/>
  <c r="DE53" i="4"/>
  <c r="DE61" i="4"/>
  <c r="DE69" i="4"/>
  <c r="DE22" i="4"/>
  <c r="DE30" i="4"/>
  <c r="DE38" i="4"/>
  <c r="DE46" i="4"/>
  <c r="DE54" i="4"/>
  <c r="DE62" i="4"/>
  <c r="DE70" i="4"/>
  <c r="DE23" i="4"/>
  <c r="DE31" i="4"/>
  <c r="DE39" i="4"/>
  <c r="DE47" i="4"/>
  <c r="DE55" i="4"/>
  <c r="DE63" i="4"/>
  <c r="DE71" i="4"/>
  <c r="DE24" i="4"/>
  <c r="DE32" i="4"/>
  <c r="DE40" i="4"/>
  <c r="DE48" i="4"/>
  <c r="DE56" i="4"/>
  <c r="DE64" i="4"/>
  <c r="DE25" i="4"/>
  <c r="DE33" i="4"/>
  <c r="DE41" i="4"/>
  <c r="DE49" i="4"/>
  <c r="DE57" i="4"/>
  <c r="DE65" i="4"/>
  <c r="DE16" i="4"/>
  <c r="DE26" i="4"/>
  <c r="DE34" i="4"/>
  <c r="DE42" i="4"/>
  <c r="DE50" i="4"/>
  <c r="DE58" i="4"/>
  <c r="DE66" i="4"/>
  <c r="DE17" i="4"/>
  <c r="DE27" i="4"/>
  <c r="DE35" i="4"/>
  <c r="DE43" i="4"/>
  <c r="DE51" i="4"/>
  <c r="DE59" i="4"/>
  <c r="DE67" i="4"/>
  <c r="DE18" i="4"/>
  <c r="DE19" i="4"/>
  <c r="Y4" i="3"/>
  <c r="Y3" i="3"/>
  <c r="Q4" i="3"/>
  <c r="E4" i="3"/>
  <c r="CH12" i="4"/>
  <c r="FN12" i="4"/>
  <c r="CW12" i="4"/>
  <c r="DF58" i="4" l="1"/>
  <c r="DG58" i="4" s="1"/>
  <c r="DG59" i="4" s="1"/>
  <c r="DF40" i="4"/>
  <c r="DG40" i="4" s="1"/>
  <c r="DG41" i="4" s="1"/>
  <c r="DF30" i="4"/>
  <c r="DG30" i="4" s="1"/>
  <c r="DF42" i="4"/>
  <c r="DG42" i="4" s="1"/>
  <c r="DG43" i="4" s="1"/>
  <c r="DF24" i="4"/>
  <c r="DG24" i="4" s="1"/>
  <c r="DF60" i="4"/>
  <c r="DG60" i="4" s="1"/>
  <c r="DG61" i="4" s="1"/>
  <c r="DF34" i="4"/>
  <c r="DG34" i="4" s="1"/>
  <c r="DF56" i="4"/>
  <c r="DG56" i="4" s="1"/>
  <c r="DG57" i="4" s="1"/>
  <c r="DF46" i="4"/>
  <c r="DG46" i="4" s="1"/>
  <c r="DG47" i="4" s="1"/>
  <c r="DF28" i="4"/>
  <c r="DG28" i="4" s="1"/>
  <c r="DF50" i="4"/>
  <c r="DG50" i="4" s="1"/>
  <c r="DG51" i="4" s="1"/>
  <c r="DF32" i="4"/>
  <c r="DG32" i="4" s="1"/>
  <c r="DF22" i="4"/>
  <c r="DG22" i="4" s="1"/>
  <c r="DF68" i="4"/>
  <c r="DG68" i="4" s="1"/>
  <c r="DG69" i="4" s="1"/>
  <c r="DF70" i="4"/>
  <c r="DG70" i="4" s="1"/>
  <c r="DG71" i="4" s="1"/>
  <c r="DF52" i="4"/>
  <c r="DG52" i="4" s="1"/>
  <c r="DG53" i="4" s="1"/>
  <c r="DF26" i="4"/>
  <c r="DG26" i="4" s="1"/>
  <c r="DF62" i="4"/>
  <c r="DG62" i="4" s="1"/>
  <c r="DG63" i="4" s="1"/>
  <c r="DF44" i="4"/>
  <c r="DG44" i="4" s="1"/>
  <c r="DG45" i="4" s="1"/>
  <c r="DF16" i="4"/>
  <c r="DG16" i="4" s="1"/>
  <c r="DG17" i="4" s="1"/>
  <c r="DA17" i="4" s="1"/>
  <c r="DB17" i="4" s="1"/>
  <c r="DF64" i="4"/>
  <c r="DG64" i="4" s="1"/>
  <c r="DG65" i="4" s="1"/>
  <c r="DF54" i="4"/>
  <c r="DG54" i="4" s="1"/>
  <c r="DG55" i="4" s="1"/>
  <c r="DF36" i="4"/>
  <c r="DG36" i="4" s="1"/>
  <c r="DG37" i="4" s="1"/>
  <c r="DF18" i="4"/>
  <c r="DG18" i="4" s="1"/>
  <c r="DF66" i="4"/>
  <c r="DG66" i="4" s="1"/>
  <c r="DG67" i="4" s="1"/>
  <c r="DF48" i="4"/>
  <c r="DG48" i="4" s="1"/>
  <c r="DG49" i="4" s="1"/>
  <c r="DF38" i="4"/>
  <c r="DG38" i="4" s="1"/>
  <c r="DF20" i="4"/>
  <c r="DG20" i="4" s="1"/>
  <c r="DG21" i="4" s="1"/>
  <c r="DA21" i="4" s="1"/>
  <c r="DB21" i="4" s="1"/>
  <c r="GM10" i="4"/>
  <c r="DG39" i="4" l="1"/>
  <c r="DA39" i="4" s="1"/>
  <c r="DB39" i="4" s="1"/>
  <c r="DA38" i="4"/>
  <c r="DB38" i="4" s="1"/>
  <c r="DG35" i="4"/>
  <c r="DA35" i="4" s="1"/>
  <c r="DB35" i="4" s="1"/>
  <c r="DA34" i="4"/>
  <c r="DB34" i="4" s="1"/>
  <c r="DG33" i="4"/>
  <c r="DA33" i="4" s="1"/>
  <c r="DB33" i="4" s="1"/>
  <c r="DA32" i="4"/>
  <c r="DB32" i="4" s="1"/>
  <c r="DG31" i="4"/>
  <c r="DA31" i="4" s="1"/>
  <c r="DB31" i="4" s="1"/>
  <c r="DA30" i="4"/>
  <c r="DB30" i="4" s="1"/>
  <c r="DG29" i="4"/>
  <c r="DA29" i="4" s="1"/>
  <c r="DB29" i="4" s="1"/>
  <c r="DA28" i="4"/>
  <c r="DB28" i="4" s="1"/>
  <c r="DG27" i="4"/>
  <c r="DA27" i="4" s="1"/>
  <c r="DB27" i="4" s="1"/>
  <c r="DA26" i="4"/>
  <c r="DB26" i="4" s="1"/>
  <c r="DG25" i="4"/>
  <c r="DA25" i="4" s="1"/>
  <c r="DB25" i="4" s="1"/>
  <c r="DA24" i="4"/>
  <c r="DB24" i="4" s="1"/>
  <c r="DG23" i="4"/>
  <c r="DA22" i="4"/>
  <c r="DB22" i="4" s="1"/>
  <c r="DG19" i="4"/>
  <c r="DA19" i="4" s="1"/>
  <c r="DB19" i="4" s="1"/>
  <c r="DA18" i="4"/>
  <c r="DB18" i="4" s="1"/>
  <c r="CY12" i="4"/>
  <c r="CU12" i="4"/>
  <c r="CS12" i="4"/>
  <c r="FL12" i="4" l="1"/>
  <c r="BZ73" i="4"/>
  <c r="F63" i="3" s="1"/>
  <c r="BP81" i="4"/>
  <c r="R47" i="3" s="1"/>
  <c r="CA77" i="4" l="1"/>
  <c r="L64" i="3" s="1"/>
  <c r="BZ83" i="4"/>
  <c r="U63" i="3" s="1"/>
  <c r="CA81" i="4"/>
  <c r="R64" i="3" s="1"/>
  <c r="CA73" i="4"/>
  <c r="F64" i="3" s="1"/>
  <c r="CA83" i="4"/>
  <c r="U64" i="3" s="1"/>
  <c r="BZ75" i="4"/>
  <c r="I63" i="3" s="1"/>
  <c r="BZ81" i="4"/>
  <c r="R63" i="3" s="1"/>
  <c r="BZ79" i="4"/>
  <c r="O63" i="3" s="1"/>
  <c r="BZ77" i="4"/>
  <c r="L63" i="3" s="1"/>
  <c r="CA75" i="4"/>
  <c r="I64" i="3" s="1"/>
  <c r="CA79" i="4"/>
  <c r="O64" i="3" s="1"/>
  <c r="BP83" i="4"/>
  <c r="U47" i="3" s="1"/>
  <c r="BP73" i="4"/>
  <c r="F47" i="3" s="1"/>
  <c r="BP77" i="4"/>
  <c r="L47" i="3" s="1"/>
  <c r="BP75" i="4"/>
  <c r="I47" i="3" s="1"/>
  <c r="BP79" i="4"/>
  <c r="O47" i="3" s="1"/>
  <c r="FO12" i="4"/>
  <c r="GO12" i="4"/>
  <c r="Q10" i="4"/>
  <c r="R10" i="4"/>
  <c r="S10" i="4"/>
  <c r="T10" i="4"/>
  <c r="U10" i="4"/>
  <c r="V10" i="4"/>
  <c r="Y10" i="4"/>
  <c r="AA10" i="4"/>
  <c r="AC10" i="4"/>
  <c r="AG10" i="4"/>
  <c r="AE10" i="4"/>
  <c r="AI10" i="4"/>
  <c r="Y11" i="4"/>
  <c r="AA11" i="4"/>
  <c r="AC11" i="4"/>
  <c r="AG11" i="4"/>
  <c r="AE11" i="4"/>
  <c r="AI11" i="4"/>
  <c r="FT22" i="4" l="1"/>
  <c r="FT62" i="4"/>
  <c r="FT70" i="4"/>
  <c r="FT63" i="4"/>
  <c r="FT71" i="4"/>
  <c r="FT64" i="4"/>
  <c r="FT65" i="4"/>
  <c r="FT58" i="4"/>
  <c r="FT66" i="4"/>
  <c r="FT59" i="4"/>
  <c r="FT67" i="4"/>
  <c r="FT60" i="4"/>
  <c r="FT68" i="4"/>
  <c r="FT61" i="4"/>
  <c r="FT69" i="4"/>
  <c r="X63" i="3"/>
  <c r="D126" i="3" s="1"/>
  <c r="F126" i="3" s="1"/>
  <c r="X64" i="3"/>
  <c r="D127" i="3" s="1"/>
  <c r="F127" i="3" s="1"/>
  <c r="X47" i="3"/>
  <c r="DE12" i="4"/>
  <c r="DE13" i="4"/>
  <c r="CS77" i="4"/>
  <c r="CS76" i="4"/>
  <c r="R9" i="3" s="1"/>
  <c r="CS74" i="4"/>
  <c r="L9" i="3" s="1"/>
  <c r="BS83" i="4"/>
  <c r="U50" i="3" s="1"/>
  <c r="BS75" i="4"/>
  <c r="I50" i="3" s="1"/>
  <c r="BS77" i="4"/>
  <c r="L50" i="3" s="1"/>
  <c r="BS81" i="4"/>
  <c r="R50" i="3" s="1"/>
  <c r="BS73" i="4"/>
  <c r="F50" i="3" s="1"/>
  <c r="BS79" i="4"/>
  <c r="O50" i="3" s="1"/>
  <c r="BR79" i="4"/>
  <c r="O49" i="3" s="1"/>
  <c r="BR77" i="4"/>
  <c r="L49" i="3" s="1"/>
  <c r="BR81" i="4"/>
  <c r="R49" i="3" s="1"/>
  <c r="BR83" i="4"/>
  <c r="U49" i="3" s="1"/>
  <c r="BR75" i="4"/>
  <c r="I49" i="3" s="1"/>
  <c r="BR73" i="4"/>
  <c r="F49" i="3" s="1"/>
  <c r="GJ72" i="4"/>
  <c r="GD72" i="4"/>
  <c r="GH72" i="4"/>
  <c r="GB72" i="4"/>
  <c r="GA72" i="4"/>
  <c r="FY72" i="4"/>
  <c r="GK22" i="4" a="1"/>
  <c r="GK22" i="4" s="1"/>
  <c r="H22" i="4" s="1"/>
  <c r="GO10" i="4"/>
  <c r="DY60" i="4" l="1"/>
  <c r="DY68" i="4"/>
  <c r="DY64" i="4"/>
  <c r="DY58" i="4"/>
  <c r="DY62" i="4"/>
  <c r="DY66" i="4"/>
  <c r="DY70" i="4"/>
  <c r="U9" i="3"/>
  <c r="FU66" i="4"/>
  <c r="FV66" i="4" s="1"/>
  <c r="FU68" i="4"/>
  <c r="FU58" i="4"/>
  <c r="FV58" i="4" s="1"/>
  <c r="FU70" i="4"/>
  <c r="FV70" i="4" s="1"/>
  <c r="FU62" i="4"/>
  <c r="FV62" i="4" s="1"/>
  <c r="FU60" i="4"/>
  <c r="FV60" i="4" s="1"/>
  <c r="FU64" i="4"/>
  <c r="FV64" i="4" s="1"/>
  <c r="X50" i="3"/>
  <c r="X150" i="3" s="1"/>
  <c r="Z150" i="3" s="1"/>
  <c r="X49" i="3"/>
  <c r="X149" i="3" s="1"/>
  <c r="Z149" i="3" s="1"/>
  <c r="X147" i="3"/>
  <c r="Z147" i="3" s="1"/>
  <c r="DF12" i="4"/>
  <c r="FY73" i="4"/>
  <c r="BT79" i="4"/>
  <c r="O51" i="3" s="1"/>
  <c r="BT81" i="4"/>
  <c r="R51" i="3" s="1"/>
  <c r="BT77" i="4"/>
  <c r="L51" i="3" s="1"/>
  <c r="BT83" i="4"/>
  <c r="U51" i="3" s="1"/>
  <c r="BT75" i="4"/>
  <c r="I51" i="3" s="1"/>
  <c r="BT73" i="4"/>
  <c r="F51" i="3" s="1"/>
  <c r="BU83" i="4"/>
  <c r="U52" i="3" s="1"/>
  <c r="BU75" i="4"/>
  <c r="I52" i="3" s="1"/>
  <c r="BU81" i="4"/>
  <c r="R52" i="3" s="1"/>
  <c r="BU73" i="4"/>
  <c r="F52" i="3" s="1"/>
  <c r="BU79" i="4"/>
  <c r="O52" i="3" s="1"/>
  <c r="BU77" i="4"/>
  <c r="L52" i="3" s="1"/>
  <c r="BQ83" i="4"/>
  <c r="U48" i="3" s="1"/>
  <c r="BQ75" i="4"/>
  <c r="I48" i="3" s="1"/>
  <c r="BQ77" i="4"/>
  <c r="L48" i="3" s="1"/>
  <c r="BQ81" i="4"/>
  <c r="R48" i="3" s="1"/>
  <c r="BQ73" i="4"/>
  <c r="F48" i="3" s="1"/>
  <c r="BQ79" i="4"/>
  <c r="O48" i="3" s="1"/>
  <c r="DZ62" i="4" l="1"/>
  <c r="EC62" i="4"/>
  <c r="EC16" i="4"/>
  <c r="DZ70" i="4"/>
  <c r="EC70" i="4"/>
  <c r="EC14" i="4"/>
  <c r="DZ68" i="4"/>
  <c r="EC68" i="4"/>
  <c r="DZ66" i="4"/>
  <c r="EC66" i="4"/>
  <c r="DZ58" i="4"/>
  <c r="EC58" i="4"/>
  <c r="DZ60" i="4"/>
  <c r="EC60" i="4"/>
  <c r="EC18" i="4"/>
  <c r="DZ64" i="4"/>
  <c r="EC64" i="4"/>
  <c r="EC12" i="4"/>
  <c r="DT13" i="4"/>
  <c r="DU13" i="4" s="1"/>
  <c r="DT70" i="4"/>
  <c r="DU70" i="4" s="1"/>
  <c r="FV71" i="4"/>
  <c r="FP71" i="4" s="1"/>
  <c r="FV68" i="4"/>
  <c r="FV69" i="4" s="1"/>
  <c r="FP69" i="4" s="1"/>
  <c r="FV65" i="4"/>
  <c r="FP65" i="4" s="1"/>
  <c r="FV67" i="4"/>
  <c r="FP67" i="4" s="1"/>
  <c r="FV63" i="4"/>
  <c r="FP70" i="4" s="1"/>
  <c r="FV61" i="4"/>
  <c r="FV59" i="4"/>
  <c r="DG12" i="4"/>
  <c r="DG13" i="4" s="1"/>
  <c r="DA13" i="4" s="1"/>
  <c r="DB13" i="4" s="1"/>
  <c r="X52" i="3"/>
  <c r="X152" i="3" s="1"/>
  <c r="Z152" i="3" s="1"/>
  <c r="X51" i="3"/>
  <c r="X151" i="3" s="1"/>
  <c r="Z151" i="3" s="1"/>
  <c r="DA70" i="4"/>
  <c r="DB70" i="4" s="1"/>
  <c r="DA36" i="4"/>
  <c r="D114" i="3"/>
  <c r="F114" i="3" s="1"/>
  <c r="X48" i="3"/>
  <c r="Z49" i="3" s="1"/>
  <c r="DA20" i="4"/>
  <c r="DB20" i="4" s="1"/>
  <c r="FP66" i="4" l="1"/>
  <c r="FQ66" i="4" s="1"/>
  <c r="GV66" i="4" s="1"/>
  <c r="DZ67" i="4"/>
  <c r="DZ63" i="4"/>
  <c r="DZ65" i="4"/>
  <c r="DZ69" i="4"/>
  <c r="DT12" i="4"/>
  <c r="EC13" i="4"/>
  <c r="DZ59" i="4"/>
  <c r="DZ71" i="4"/>
  <c r="EC65" i="4"/>
  <c r="DZ61" i="4"/>
  <c r="EC61" i="4"/>
  <c r="EC67" i="4"/>
  <c r="EC15" i="4"/>
  <c r="EC17" i="4"/>
  <c r="EC19" i="4"/>
  <c r="EC59" i="4"/>
  <c r="EC69" i="4"/>
  <c r="EC71" i="4"/>
  <c r="EC63" i="4"/>
  <c r="FP68" i="4"/>
  <c r="FQ69" i="4"/>
  <c r="GV69" i="4" s="1"/>
  <c r="FQ70" i="4"/>
  <c r="GV70" i="4" s="1"/>
  <c r="FQ71" i="4"/>
  <c r="GV71" i="4" s="1"/>
  <c r="FQ67" i="4"/>
  <c r="GV67" i="4" s="1"/>
  <c r="FQ65" i="4"/>
  <c r="GV65" i="4" s="1"/>
  <c r="X148" i="3"/>
  <c r="Z148" i="3" s="1"/>
  <c r="DA37" i="4"/>
  <c r="DB36" i="4"/>
  <c r="DA71" i="4"/>
  <c r="DB71" i="4" s="1"/>
  <c r="DA12" i="4"/>
  <c r="AX12" i="4" l="1"/>
  <c r="GF12" i="4" s="1"/>
  <c r="DU12" i="4"/>
  <c r="AX13" i="4"/>
  <c r="DT71" i="4"/>
  <c r="DU71" i="4" s="1"/>
  <c r="FQ68" i="4"/>
  <c r="GV68" i="4" s="1"/>
  <c r="DB37" i="4"/>
  <c r="DB12" i="4"/>
  <c r="GF13" i="4" l="1"/>
  <c r="GK13" i="4" s="1" a="1"/>
  <c r="GK13" i="4" s="1"/>
  <c r="H13" i="4" s="1"/>
  <c r="GR13" i="4"/>
  <c r="GW13" i="4" s="1"/>
  <c r="AP5" i="8"/>
  <c r="H13" i="8" l="1"/>
  <c r="H17" i="8"/>
  <c r="H25" i="8"/>
  <c r="H41" i="8"/>
  <c r="H49" i="8"/>
  <c r="H7" i="8"/>
  <c r="H6" i="8"/>
  <c r="H10" i="8"/>
  <c r="H18" i="8"/>
  <c r="H22" i="8"/>
  <c r="H26" i="8"/>
  <c r="H30" i="8"/>
  <c r="H38" i="8"/>
  <c r="H42" i="8"/>
  <c r="H46" i="8"/>
  <c r="H11" i="8"/>
  <c r="H15" i="8"/>
  <c r="H19" i="8"/>
  <c r="H23" i="8"/>
  <c r="H27" i="8"/>
  <c r="H31" i="8"/>
  <c r="H35" i="8"/>
  <c r="H39" i="8"/>
  <c r="H43" i="8"/>
  <c r="H47" i="8"/>
  <c r="H8" i="8"/>
  <c r="H12" i="8"/>
  <c r="H16" i="8"/>
  <c r="H20" i="8"/>
  <c r="H24" i="8"/>
  <c r="H28" i="8"/>
  <c r="H32" i="8"/>
  <c r="H36" i="8"/>
  <c r="H40" i="8"/>
  <c r="H44" i="8"/>
  <c r="H48" i="8"/>
  <c r="H4" i="8"/>
  <c r="H33" i="8"/>
  <c r="H37" i="8"/>
  <c r="H45" i="8"/>
  <c r="BK48" i="4"/>
  <c r="BK32" i="4"/>
  <c r="BK55" i="4"/>
  <c r="BK47" i="4"/>
  <c r="BK39" i="4"/>
  <c r="BK31" i="4"/>
  <c r="BK46" i="4"/>
  <c r="BK50" i="4"/>
  <c r="BK34" i="4"/>
  <c r="BK53" i="4"/>
  <c r="BK45" i="4"/>
  <c r="BK52" i="4"/>
  <c r="BK36" i="4"/>
  <c r="BK24" i="4"/>
  <c r="BK57" i="4"/>
  <c r="BK49" i="4"/>
  <c r="BK41" i="4"/>
  <c r="BK56" i="4"/>
  <c r="BK51" i="4"/>
  <c r="BK43" i="4"/>
  <c r="BK54" i="4"/>
  <c r="BK38" i="4"/>
  <c r="BK40" i="4"/>
  <c r="BK35" i="4"/>
  <c r="BK44" i="4"/>
  <c r="BK30" i="4"/>
  <c r="BK33" i="4"/>
  <c r="BK21" i="4"/>
  <c r="BK15" i="4"/>
  <c r="BK19" i="4"/>
  <c r="BK28" i="4"/>
  <c r="BK20" i="4"/>
  <c r="BK23" i="4"/>
  <c r="BK16" i="4"/>
  <c r="BK18" i="4"/>
  <c r="BK14" i="4"/>
  <c r="B12" i="4"/>
  <c r="BK12" i="4"/>
  <c r="DQ12" i="4" s="1"/>
  <c r="DR12" i="4" s="1"/>
  <c r="BK27" i="4"/>
  <c r="BK26" i="4"/>
  <c r="BK25" i="4"/>
  <c r="BJ56" i="4"/>
  <c r="I56" i="4" s="1"/>
  <c r="M48" i="8" s="1"/>
  <c r="BJ53" i="4"/>
  <c r="I53" i="4" s="1"/>
  <c r="M45" i="8" s="1"/>
  <c r="BJ55" i="4"/>
  <c r="I55" i="4" s="1"/>
  <c r="M47" i="8" s="1"/>
  <c r="BJ24" i="4"/>
  <c r="I24" i="4" s="1"/>
  <c r="M16" i="8" s="1"/>
  <c r="BJ48" i="4"/>
  <c r="BJ54" i="4"/>
  <c r="BJ46" i="4"/>
  <c r="AM46" i="4" s="1"/>
  <c r="EF46" i="4" s="1"/>
  <c r="BJ44" i="4"/>
  <c r="AM44" i="4" s="1"/>
  <c r="EF44" i="4" s="1"/>
  <c r="BJ40" i="4"/>
  <c r="CO40" i="4" s="1"/>
  <c r="BJ38" i="4"/>
  <c r="DH38" i="4" s="1"/>
  <c r="BJ36" i="4"/>
  <c r="I36" i="4" s="1"/>
  <c r="M28" i="8" s="1"/>
  <c r="BJ34" i="4"/>
  <c r="I34" i="4" s="1"/>
  <c r="M26" i="8" s="1"/>
  <c r="BJ32" i="4"/>
  <c r="I32" i="4" s="1"/>
  <c r="M24" i="8" s="1"/>
  <c r="BJ30" i="4"/>
  <c r="DH30" i="4" s="1"/>
  <c r="DX18" i="4" s="1"/>
  <c r="BJ28" i="4"/>
  <c r="FJ28" i="4" s="1"/>
  <c r="BJ26" i="4"/>
  <c r="FJ26" i="4" s="1"/>
  <c r="BJ21" i="4"/>
  <c r="I21" i="4" s="1"/>
  <c r="M13" i="8" s="1"/>
  <c r="BJ57" i="4"/>
  <c r="AM57" i="4" s="1"/>
  <c r="EF57" i="4" s="1"/>
  <c r="BJ49" i="4"/>
  <c r="I49" i="4" s="1"/>
  <c r="M41" i="8" s="1"/>
  <c r="BJ50" i="4"/>
  <c r="AM50" i="4" s="1"/>
  <c r="EF50" i="4" s="1"/>
  <c r="BJ52" i="4"/>
  <c r="AM52" i="4" s="1"/>
  <c r="EF52" i="4" s="1"/>
  <c r="BJ51" i="4"/>
  <c r="I51" i="4" s="1"/>
  <c r="M43" i="8" s="1"/>
  <c r="BJ47" i="4"/>
  <c r="I47" i="4" s="1"/>
  <c r="M39" i="8" s="1"/>
  <c r="BJ45" i="4"/>
  <c r="I45" i="4" s="1"/>
  <c r="M37" i="8" s="1"/>
  <c r="BJ43" i="4"/>
  <c r="AM43" i="4" s="1"/>
  <c r="EF43" i="4" s="1"/>
  <c r="BJ41" i="4"/>
  <c r="FJ41" i="4" s="1"/>
  <c r="BJ39" i="4"/>
  <c r="I39" i="4" s="1"/>
  <c r="M31" i="8" s="1"/>
  <c r="BJ35" i="4"/>
  <c r="AM35" i="4" s="1"/>
  <c r="EF35" i="4" s="1"/>
  <c r="BJ33" i="4"/>
  <c r="I33" i="4" s="1"/>
  <c r="M25" i="8" s="1"/>
  <c r="BJ31" i="4"/>
  <c r="BJ19" i="4"/>
  <c r="CO19" i="4" s="1"/>
  <c r="CP19" i="4" s="1"/>
  <c r="CQ19" i="4" s="1"/>
  <c r="BJ16" i="4"/>
  <c r="FJ16" i="4" s="1"/>
  <c r="BJ23" i="4"/>
  <c r="CO23" i="4" s="1"/>
  <c r="BJ27" i="4"/>
  <c r="FJ27" i="4" s="1"/>
  <c r="BJ20" i="4"/>
  <c r="CO20" i="4" s="1"/>
  <c r="CP20" i="4" s="1"/>
  <c r="CQ20" i="4" s="1"/>
  <c r="BJ25" i="4"/>
  <c r="CO25" i="4" s="1"/>
  <c r="BJ15" i="4"/>
  <c r="DH15" i="4" s="1"/>
  <c r="DI15" i="4" s="1"/>
  <c r="BJ18" i="4"/>
  <c r="CO18" i="4" s="1"/>
  <c r="CP18" i="4" s="1"/>
  <c r="CQ18" i="4" s="1"/>
  <c r="DH14" i="4"/>
  <c r="DI14" i="4" s="1"/>
  <c r="DQ30" i="4" l="1"/>
  <c r="DR30" i="4" s="1"/>
  <c r="DQ38" i="4"/>
  <c r="DR38" i="4" s="1"/>
  <c r="DN14" i="4"/>
  <c r="AU14" i="4"/>
  <c r="AQ14" i="4"/>
  <c r="DP14" i="4"/>
  <c r="DK14" i="4"/>
  <c r="DL14" i="4" s="1"/>
  <c r="AS14" i="4"/>
  <c r="AO14" i="4"/>
  <c r="DN15" i="4"/>
  <c r="AU15" i="4"/>
  <c r="AQ15" i="4"/>
  <c r="DP15" i="4"/>
  <c r="DK15" i="4"/>
  <c r="DL15" i="4" s="1"/>
  <c r="AS15" i="4"/>
  <c r="AO15" i="4"/>
  <c r="GE15" i="4" s="1"/>
  <c r="EG43" i="4"/>
  <c r="EG42" i="4"/>
  <c r="DP30" i="4"/>
  <c r="DK30" i="4"/>
  <c r="DL30" i="4" s="1"/>
  <c r="DN30" i="4"/>
  <c r="AU30" i="4"/>
  <c r="AQ30" i="4"/>
  <c r="AS30" i="4"/>
  <c r="AO30" i="4"/>
  <c r="DN38" i="4"/>
  <c r="DP38" i="4"/>
  <c r="DK38" i="4"/>
  <c r="DL38" i="4" s="1"/>
  <c r="AU38" i="4"/>
  <c r="AQ38" i="4"/>
  <c r="AS38" i="4"/>
  <c r="AO38" i="4"/>
  <c r="DK12" i="4"/>
  <c r="DL12" i="4" s="1"/>
  <c r="DN12" i="4"/>
  <c r="AO12" i="4"/>
  <c r="AU12" i="4"/>
  <c r="AQ12" i="4"/>
  <c r="DI38" i="4"/>
  <c r="DI30" i="4"/>
  <c r="FK41" i="4"/>
  <c r="FL41" i="4" s="1"/>
  <c r="FM41" i="4"/>
  <c r="FN41" i="4" s="1"/>
  <c r="AH41" i="4"/>
  <c r="AL33" i="8" s="1"/>
  <c r="AF41" i="4"/>
  <c r="AJ33" i="8" s="1"/>
  <c r="FC12" i="4"/>
  <c r="FK16" i="4"/>
  <c r="FL16" i="4" s="1"/>
  <c r="FM16" i="4"/>
  <c r="FN16" i="4" s="1"/>
  <c r="AH16" i="4"/>
  <c r="AL8" i="8" s="1"/>
  <c r="AF16" i="4"/>
  <c r="AJ8" i="8" s="1"/>
  <c r="FM26" i="4"/>
  <c r="FN26" i="4" s="1"/>
  <c r="AF26" i="4"/>
  <c r="AJ18" i="8" s="1"/>
  <c r="AH26" i="4"/>
  <c r="AL18" i="8" s="1"/>
  <c r="FK26" i="4"/>
  <c r="FL26" i="4" s="1"/>
  <c r="FC28" i="4"/>
  <c r="FK28" i="4"/>
  <c r="FL28" i="4" s="1"/>
  <c r="FM28" i="4"/>
  <c r="FN28" i="4" s="1"/>
  <c r="AF28" i="4"/>
  <c r="AJ20" i="8" s="1"/>
  <c r="AH28" i="4"/>
  <c r="AL20" i="8" s="1"/>
  <c r="FK27" i="4"/>
  <c r="FL27" i="4" s="1"/>
  <c r="FM27" i="4"/>
  <c r="FN27" i="4" s="1"/>
  <c r="AH27" i="4"/>
  <c r="AL19" i="8" s="1"/>
  <c r="AF27" i="4"/>
  <c r="AJ19" i="8" s="1"/>
  <c r="DE15" i="4"/>
  <c r="CP23" i="4"/>
  <c r="CQ23" i="4" s="1"/>
  <c r="FC41" i="4"/>
  <c r="F4" i="8"/>
  <c r="B13" i="4"/>
  <c r="I38" i="4"/>
  <c r="M30" i="8" s="1"/>
  <c r="I52" i="4"/>
  <c r="M44" i="8" s="1"/>
  <c r="I44" i="4"/>
  <c r="M36" i="8" s="1"/>
  <c r="CO24" i="4"/>
  <c r="CP24" i="4" s="1"/>
  <c r="CQ24" i="4" s="1"/>
  <c r="AM19" i="4"/>
  <c r="EF29" i="4" s="1"/>
  <c r="AM23" i="4"/>
  <c r="I43" i="4"/>
  <c r="M35" i="8" s="1"/>
  <c r="I30" i="4"/>
  <c r="M22" i="8" s="1"/>
  <c r="I40" i="4"/>
  <c r="M32" i="8" s="1"/>
  <c r="BO33" i="4"/>
  <c r="I26" i="4"/>
  <c r="M18" i="8" s="1"/>
  <c r="I54" i="4"/>
  <c r="M46" i="8" s="1"/>
  <c r="AM14" i="4"/>
  <c r="AM18" i="4"/>
  <c r="AM15" i="4"/>
  <c r="AM25" i="4"/>
  <c r="EF25" i="4" s="1"/>
  <c r="AM20" i="4"/>
  <c r="AM27" i="4"/>
  <c r="EF27" i="4" s="1"/>
  <c r="I15" i="4"/>
  <c r="M7" i="8" s="1"/>
  <c r="I35" i="4"/>
  <c r="M27" i="8" s="1"/>
  <c r="I50" i="4"/>
  <c r="M42" i="8" s="1"/>
  <c r="I28" i="4"/>
  <c r="M20" i="8" s="1"/>
  <c r="I46" i="4"/>
  <c r="M38" i="8" s="1"/>
  <c r="FC26" i="4"/>
  <c r="CO33" i="4"/>
  <c r="FJ20" i="4"/>
  <c r="I14" i="4"/>
  <c r="M6" i="8" s="1"/>
  <c r="I18" i="4"/>
  <c r="M10" i="8" s="1"/>
  <c r="FC27" i="4"/>
  <c r="CO30" i="4"/>
  <c r="I25" i="4"/>
  <c r="M17" i="8" s="1"/>
  <c r="AM16" i="4"/>
  <c r="I31" i="4"/>
  <c r="M23" i="8" s="1"/>
  <c r="I41" i="4"/>
  <c r="M33" i="8" s="1"/>
  <c r="I57" i="4"/>
  <c r="M49" i="8" s="1"/>
  <c r="I19" i="4"/>
  <c r="M11" i="8" s="1"/>
  <c r="I48" i="4"/>
  <c r="M40" i="8" s="1"/>
  <c r="AM21" i="4"/>
  <c r="FJ33" i="4"/>
  <c r="FT26" i="4" s="1"/>
  <c r="DH44" i="4"/>
  <c r="DQ44" i="4" s="1"/>
  <c r="DR44" i="4" s="1"/>
  <c r="FJ18" i="4"/>
  <c r="DH33" i="4"/>
  <c r="DX21" i="4" s="1"/>
  <c r="DH25" i="4"/>
  <c r="DX13" i="4" s="1"/>
  <c r="FJ40" i="4"/>
  <c r="FC16" i="4"/>
  <c r="AM39" i="4"/>
  <c r="EF39" i="4" s="1"/>
  <c r="FJ39" i="4"/>
  <c r="BO39" i="4"/>
  <c r="CE39" i="4" s="1"/>
  <c r="CO39" i="4"/>
  <c r="FJ43" i="4"/>
  <c r="DH43" i="4"/>
  <c r="DQ43" i="4" s="1"/>
  <c r="DR43" i="4" s="1"/>
  <c r="FJ47" i="4"/>
  <c r="DH47" i="4"/>
  <c r="DQ47" i="4" s="1"/>
  <c r="DR47" i="4" s="1"/>
  <c r="AM47" i="4"/>
  <c r="EF47" i="4" s="1"/>
  <c r="EG47" i="4" s="1"/>
  <c r="CO47" i="4"/>
  <c r="CO52" i="4"/>
  <c r="FJ52" i="4"/>
  <c r="BO52" i="4"/>
  <c r="CE52" i="4" s="1"/>
  <c r="CO49" i="4"/>
  <c r="BO49" i="4"/>
  <c r="CE49" i="4" s="1"/>
  <c r="AM49" i="4"/>
  <c r="EF49" i="4" s="1"/>
  <c r="DH49" i="4"/>
  <c r="DX37" i="4" s="1"/>
  <c r="CO26" i="4"/>
  <c r="DH26" i="4"/>
  <c r="DX14" i="4" s="1"/>
  <c r="DH32" i="4"/>
  <c r="DX20" i="4" s="1"/>
  <c r="CO32" i="4"/>
  <c r="FJ36" i="4"/>
  <c r="AM36" i="4"/>
  <c r="EF36" i="4" s="1"/>
  <c r="DH36" i="4"/>
  <c r="DQ36" i="4" s="1"/>
  <c r="DR36" i="4" s="1"/>
  <c r="BO36" i="4"/>
  <c r="CE36" i="4" s="1"/>
  <c r="AM38" i="4"/>
  <c r="EF38" i="4" s="1"/>
  <c r="FJ38" i="4"/>
  <c r="FJ46" i="4"/>
  <c r="DH46" i="4"/>
  <c r="DQ46" i="4" s="1"/>
  <c r="DR46" i="4" s="1"/>
  <c r="FJ54" i="4"/>
  <c r="DH54" i="4"/>
  <c r="DX42" i="4" s="1"/>
  <c r="AM54" i="4"/>
  <c r="EF54" i="4" s="1"/>
  <c r="DH48" i="4"/>
  <c r="DQ48" i="4" s="1"/>
  <c r="DR48" i="4" s="1"/>
  <c r="CO48" i="4"/>
  <c r="BO24" i="4"/>
  <c r="CE24" i="4" s="1"/>
  <c r="AM24" i="4"/>
  <c r="EF24" i="4" s="1"/>
  <c r="AM55" i="4"/>
  <c r="EF55" i="4" s="1"/>
  <c r="DH55" i="4"/>
  <c r="DQ55" i="4" s="1"/>
  <c r="DR55" i="4" s="1"/>
  <c r="FJ55" i="4"/>
  <c r="FC55" i="4" s="1"/>
  <c r="CO55" i="4"/>
  <c r="FJ53" i="4"/>
  <c r="AM53" i="4"/>
  <c r="EF53" i="4" s="1"/>
  <c r="EG53" i="4" s="1"/>
  <c r="DH53" i="4"/>
  <c r="DQ53" i="4" s="1"/>
  <c r="DR53" i="4" s="1"/>
  <c r="BO53" i="4"/>
  <c r="CE53" i="4" s="1"/>
  <c r="CO56" i="4"/>
  <c r="BO56" i="4"/>
  <c r="CE56" i="4" s="1"/>
  <c r="FJ56" i="4"/>
  <c r="DH56" i="4"/>
  <c r="DQ56" i="4" s="1"/>
  <c r="DR56" i="4" s="1"/>
  <c r="FJ30" i="4"/>
  <c r="FJ25" i="4"/>
  <c r="DH19" i="4"/>
  <c r="DH16" i="4"/>
  <c r="DI16" i="4" s="1"/>
  <c r="CO44" i="4"/>
  <c r="AM40" i="4"/>
  <c r="EF40" i="4" s="1"/>
  <c r="CO15" i="4"/>
  <c r="CP15" i="4" s="1"/>
  <c r="CQ15" i="4" s="1"/>
  <c r="DH27" i="4"/>
  <c r="DX15" i="4" s="1"/>
  <c r="CO28" i="4"/>
  <c r="DH18" i="4"/>
  <c r="CO43" i="4"/>
  <c r="CO36" i="4"/>
  <c r="DH52" i="4"/>
  <c r="DQ52" i="4" s="1"/>
  <c r="DR52" i="4" s="1"/>
  <c r="CO53" i="4"/>
  <c r="BO32" i="4"/>
  <c r="CE32" i="4" s="1"/>
  <c r="FC14" i="4"/>
  <c r="CO14" i="4"/>
  <c r="DH23" i="4"/>
  <c r="FJ23" i="4"/>
  <c r="FT16" i="4" s="1"/>
  <c r="FJ31" i="4"/>
  <c r="CO31" i="4"/>
  <c r="DH31" i="4"/>
  <c r="DX19" i="4" s="1"/>
  <c r="DY18" i="4" s="1"/>
  <c r="DZ18" i="4" s="1"/>
  <c r="DZ19" i="4" s="1"/>
  <c r="AM31" i="4"/>
  <c r="EF31" i="4" s="1"/>
  <c r="FJ35" i="4"/>
  <c r="CO35" i="4"/>
  <c r="AM41" i="4"/>
  <c r="EF41" i="4" s="1"/>
  <c r="DH45" i="4"/>
  <c r="DQ45" i="4" s="1"/>
  <c r="DR45" i="4" s="1"/>
  <c r="FJ45" i="4"/>
  <c r="CO45" i="4"/>
  <c r="BO45" i="4"/>
  <c r="CE45" i="4" s="1"/>
  <c r="AM45" i="4"/>
  <c r="EF45" i="4" s="1"/>
  <c r="EG45" i="4" s="1"/>
  <c r="BO51" i="4"/>
  <c r="CE51" i="4" s="1"/>
  <c r="CO51" i="4"/>
  <c r="FJ51" i="4"/>
  <c r="AM51" i="4"/>
  <c r="EF51" i="4" s="1"/>
  <c r="EG50" i="4" s="1"/>
  <c r="DH51" i="4"/>
  <c r="DQ51" i="4" s="1"/>
  <c r="DR51" i="4" s="1"/>
  <c r="CO50" i="4"/>
  <c r="FJ50" i="4"/>
  <c r="DH50" i="4"/>
  <c r="DQ50" i="4" s="1"/>
  <c r="DR50" i="4" s="1"/>
  <c r="FJ57" i="4"/>
  <c r="DH57" i="4"/>
  <c r="DQ57" i="4" s="1"/>
  <c r="DR57" i="4" s="1"/>
  <c r="BO57" i="4"/>
  <c r="CE57" i="4" s="1"/>
  <c r="FJ34" i="4"/>
  <c r="FT27" i="4" s="1"/>
  <c r="BO34" i="4"/>
  <c r="CO34" i="4"/>
  <c r="DH34" i="4"/>
  <c r="DX22" i="4" s="1"/>
  <c r="I20" i="4"/>
  <c r="M12" i="8" s="1"/>
  <c r="I27" i="4"/>
  <c r="M19" i="8" s="1"/>
  <c r="I16" i="4"/>
  <c r="M8" i="8" s="1"/>
  <c r="I23" i="4"/>
  <c r="M15" i="8" s="1"/>
  <c r="AM28" i="4"/>
  <c r="EF28" i="4" s="1"/>
  <c r="AM26" i="4"/>
  <c r="AM56" i="4"/>
  <c r="EF56" i="4" s="1"/>
  <c r="AM34" i="4"/>
  <c r="EF34" i="4" s="1"/>
  <c r="AM32" i="4"/>
  <c r="EF32" i="4" s="1"/>
  <c r="AM33" i="4"/>
  <c r="EF33" i="4" s="1"/>
  <c r="AM30" i="4"/>
  <c r="EF30" i="4" s="1"/>
  <c r="FJ19" i="4"/>
  <c r="FT29" i="4" s="1"/>
  <c r="CO16" i="4"/>
  <c r="FJ44" i="4"/>
  <c r="FT37" i="4" s="1"/>
  <c r="BO35" i="4"/>
  <c r="CE35" i="4" s="1"/>
  <c r="DH40" i="4"/>
  <c r="DQ40" i="4" s="1"/>
  <c r="DR40" i="4" s="1"/>
  <c r="DH20" i="4"/>
  <c r="DP20" i="4" s="1"/>
  <c r="DH28" i="4"/>
  <c r="DX16" i="4" s="1"/>
  <c r="DY16" i="4" s="1"/>
  <c r="DZ16" i="4" s="1"/>
  <c r="DZ17" i="4" s="1"/>
  <c r="CO38" i="4"/>
  <c r="CO41" i="4"/>
  <c r="FJ24" i="4"/>
  <c r="FT17" i="4" s="1"/>
  <c r="DH39" i="4"/>
  <c r="DQ39" i="4" s="1"/>
  <c r="DR39" i="4" s="1"/>
  <c r="BO55" i="4"/>
  <c r="CE55" i="4" s="1"/>
  <c r="FJ48" i="4"/>
  <c r="FT41" i="4" s="1"/>
  <c r="CO21" i="4"/>
  <c r="CP21" i="4" s="1"/>
  <c r="CQ21" i="4" s="1"/>
  <c r="FJ21" i="4"/>
  <c r="DH21" i="4"/>
  <c r="DP21" i="4" s="1"/>
  <c r="BO21" i="4"/>
  <c r="CE21" i="4" s="1"/>
  <c r="FJ15" i="4"/>
  <c r="CO27" i="4"/>
  <c r="DH35" i="4"/>
  <c r="DX23" i="4" s="1"/>
  <c r="AM48" i="4"/>
  <c r="EF48" i="4" s="1"/>
  <c r="CO54" i="4"/>
  <c r="DH41" i="4"/>
  <c r="DQ41" i="4" s="1"/>
  <c r="DR41" i="4" s="1"/>
  <c r="FJ49" i="4"/>
  <c r="FT42" i="4" s="1"/>
  <c r="CO57" i="4"/>
  <c r="DH24" i="4"/>
  <c r="DX12" i="4" s="1"/>
  <c r="DY12" i="4" s="1"/>
  <c r="DZ12" i="4" s="1"/>
  <c r="DZ13" i="4" s="1"/>
  <c r="CO46" i="4"/>
  <c r="BO47" i="4"/>
  <c r="CE47" i="4" s="1"/>
  <c r="FJ32" i="4"/>
  <c r="FU16" i="4" l="1"/>
  <c r="FV16" i="4" s="1"/>
  <c r="DX29" i="4"/>
  <c r="DY14" i="4"/>
  <c r="DZ14" i="4" s="1"/>
  <c r="DZ15" i="4" s="1"/>
  <c r="DX38" i="4"/>
  <c r="DQ32" i="4"/>
  <c r="DR32" i="4" s="1"/>
  <c r="DQ49" i="4"/>
  <c r="DR49" i="4" s="1"/>
  <c r="DQ33" i="4"/>
  <c r="DR33" i="4" s="1"/>
  <c r="DY22" i="4"/>
  <c r="DZ22" i="4" s="1"/>
  <c r="DQ54" i="4"/>
  <c r="DR54" i="4" s="1"/>
  <c r="DQ31" i="4"/>
  <c r="DR31" i="4" s="1"/>
  <c r="DQ35" i="4"/>
  <c r="DR35" i="4" s="1"/>
  <c r="DQ28" i="4"/>
  <c r="DR28" i="4" s="1"/>
  <c r="DQ34" i="4"/>
  <c r="DR34" i="4" s="1"/>
  <c r="DQ27" i="4"/>
  <c r="DR27" i="4" s="1"/>
  <c r="FT24" i="4"/>
  <c r="FT14" i="4"/>
  <c r="FT28" i="4"/>
  <c r="FU28" i="4" s="1"/>
  <c r="FV28" i="4" s="1"/>
  <c r="FV29" i="4" s="1"/>
  <c r="DQ25" i="4"/>
  <c r="DR25" i="4" s="1"/>
  <c r="DQ24" i="4"/>
  <c r="DQ26" i="4"/>
  <c r="DR26" i="4" s="1"/>
  <c r="GE14" i="4"/>
  <c r="AQ16" i="4"/>
  <c r="AO16" i="4"/>
  <c r="AQ21" i="4"/>
  <c r="AO21" i="4"/>
  <c r="AO19" i="4"/>
  <c r="AQ19" i="4"/>
  <c r="AQ20" i="4"/>
  <c r="AO18" i="4"/>
  <c r="DX30" i="4"/>
  <c r="AS19" i="4"/>
  <c r="AU19" i="4"/>
  <c r="AU16" i="4"/>
  <c r="AS16" i="4"/>
  <c r="AU20" i="4"/>
  <c r="AS20" i="4"/>
  <c r="AS18" i="4"/>
  <c r="AU18" i="4"/>
  <c r="AU21" i="4"/>
  <c r="AS21" i="4"/>
  <c r="AO20" i="4"/>
  <c r="AQ18" i="4"/>
  <c r="EF26" i="4"/>
  <c r="EG27" i="4" s="1"/>
  <c r="DK19" i="4"/>
  <c r="DL19" i="4" s="1"/>
  <c r="DN19" i="4"/>
  <c r="DN16" i="4"/>
  <c r="DK16" i="4"/>
  <c r="DL16" i="4" s="1"/>
  <c r="DN20" i="4"/>
  <c r="DK20" i="4"/>
  <c r="DL20" i="4" s="1"/>
  <c r="DK18" i="4"/>
  <c r="DL18" i="4" s="1"/>
  <c r="DN18" i="4"/>
  <c r="DN21" i="4"/>
  <c r="DK21" i="4"/>
  <c r="DL21" i="4" s="1"/>
  <c r="DP19" i="4"/>
  <c r="DP16" i="4"/>
  <c r="DP18" i="4"/>
  <c r="EH42" i="4"/>
  <c r="EI42" i="4" s="1"/>
  <c r="EB42" i="4" s="1"/>
  <c r="BA42" i="4" s="1"/>
  <c r="EG41" i="4"/>
  <c r="EG40" i="4"/>
  <c r="EG31" i="4"/>
  <c r="EG30" i="4"/>
  <c r="EG57" i="4"/>
  <c r="EG56" i="4"/>
  <c r="GE38" i="4"/>
  <c r="GE30" i="4"/>
  <c r="EG52" i="4"/>
  <c r="EH52" i="4" s="1"/>
  <c r="EI52" i="4" s="1"/>
  <c r="EG46" i="4"/>
  <c r="EH46" i="4" s="1"/>
  <c r="EI46" i="4" s="1"/>
  <c r="EG29" i="4"/>
  <c r="EG28" i="4"/>
  <c r="EG25" i="4"/>
  <c r="EG24" i="4"/>
  <c r="EG55" i="4"/>
  <c r="EG54" i="4"/>
  <c r="EG33" i="4"/>
  <c r="EG32" i="4"/>
  <c r="EG37" i="4"/>
  <c r="EG36" i="4"/>
  <c r="GE12" i="4"/>
  <c r="GR12" i="4"/>
  <c r="EG44" i="4"/>
  <c r="EH44" i="4" s="1"/>
  <c r="EI44" i="4" s="1"/>
  <c r="EG51" i="4"/>
  <c r="EH50" i="4" s="1"/>
  <c r="EI50" i="4" s="1"/>
  <c r="EG49" i="4"/>
  <c r="EG48" i="4"/>
  <c r="EG35" i="4"/>
  <c r="EG34" i="4"/>
  <c r="EG39" i="4"/>
  <c r="EG38" i="4"/>
  <c r="DX41" i="4"/>
  <c r="DX39" i="4"/>
  <c r="DX51" i="4"/>
  <c r="DX52" i="4"/>
  <c r="DX49" i="4"/>
  <c r="DX33" i="4"/>
  <c r="DX24" i="4"/>
  <c r="DX50" i="4"/>
  <c r="DX45" i="4"/>
  <c r="DX27" i="4"/>
  <c r="DX56" i="4"/>
  <c r="DX36" i="4"/>
  <c r="DX32" i="4"/>
  <c r="DX47" i="4"/>
  <c r="DX28" i="4"/>
  <c r="DX46" i="4"/>
  <c r="DX44" i="4"/>
  <c r="DX48" i="4"/>
  <c r="DX40" i="4"/>
  <c r="DX34" i="4"/>
  <c r="DX53" i="4"/>
  <c r="DX54" i="4"/>
  <c r="DX26" i="4"/>
  <c r="DX35" i="4"/>
  <c r="DX57" i="4"/>
  <c r="BO41" i="4"/>
  <c r="CE41" i="4" s="1"/>
  <c r="DX31" i="4"/>
  <c r="EC22" i="4"/>
  <c r="DX55" i="4"/>
  <c r="DX43" i="4"/>
  <c r="DX25" i="4"/>
  <c r="BO30" i="4"/>
  <c r="CE30" i="4" s="1"/>
  <c r="DK48" i="4"/>
  <c r="DL48" i="4" s="1"/>
  <c r="DP48" i="4"/>
  <c r="AU39" i="4"/>
  <c r="AQ39" i="4"/>
  <c r="AU34" i="4"/>
  <c r="DK36" i="4"/>
  <c r="DL36" i="4" s="1"/>
  <c r="DP36" i="4"/>
  <c r="DP41" i="4"/>
  <c r="AU54" i="4"/>
  <c r="DK44" i="4"/>
  <c r="DL44" i="4" s="1"/>
  <c r="DP44" i="4"/>
  <c r="AQ32" i="4"/>
  <c r="DN31" i="4"/>
  <c r="AS31" i="4"/>
  <c r="DP53" i="4"/>
  <c r="DN53" i="4"/>
  <c r="AQ24" i="4"/>
  <c r="AQ56" i="4"/>
  <c r="DN55" i="4"/>
  <c r="AO55" i="4"/>
  <c r="AS46" i="4"/>
  <c r="DP46" i="4"/>
  <c r="AQ45" i="4"/>
  <c r="AS45" i="4"/>
  <c r="AQ57" i="4"/>
  <c r="AS57" i="4"/>
  <c r="DN51" i="4"/>
  <c r="DK51" i="4"/>
  <c r="DL51" i="4" s="1"/>
  <c r="AS40" i="4"/>
  <c r="DN40" i="4"/>
  <c r="AQ33" i="4"/>
  <c r="AO33" i="4"/>
  <c r="AO28" i="4"/>
  <c r="DN28" i="4"/>
  <c r="DP27" i="4"/>
  <c r="DN27" i="4"/>
  <c r="DN47" i="4"/>
  <c r="DP47" i="4"/>
  <c r="AQ50" i="4"/>
  <c r="DK50" i="4"/>
  <c r="DL50" i="4" s="1"/>
  <c r="AQ52" i="4"/>
  <c r="AU52" i="4"/>
  <c r="DK49" i="4"/>
  <c r="DL49" i="4" s="1"/>
  <c r="DN43" i="4"/>
  <c r="AS43" i="4"/>
  <c r="DP35" i="4"/>
  <c r="AS35" i="4"/>
  <c r="AU26" i="4"/>
  <c r="AS26" i="4"/>
  <c r="DK25" i="4"/>
  <c r="DL25" i="4" s="1"/>
  <c r="AS25" i="4"/>
  <c r="DY20" i="4"/>
  <c r="AO48" i="4"/>
  <c r="AU48" i="4"/>
  <c r="DP39" i="4"/>
  <c r="DK39" i="4"/>
  <c r="DL39" i="4" s="1"/>
  <c r="AQ34" i="4"/>
  <c r="DK34" i="4"/>
  <c r="DL34" i="4" s="1"/>
  <c r="AQ36" i="4"/>
  <c r="AU36" i="4"/>
  <c r="DK41" i="4"/>
  <c r="DL41" i="4" s="1"/>
  <c r="AO41" i="4"/>
  <c r="AO54" i="4"/>
  <c r="DK54" i="4"/>
  <c r="DL54" i="4" s="1"/>
  <c r="AQ44" i="4"/>
  <c r="AU44" i="4"/>
  <c r="DK32" i="4"/>
  <c r="DL32" i="4" s="1"/>
  <c r="DP32" i="4"/>
  <c r="AQ31" i="4"/>
  <c r="AO53" i="4"/>
  <c r="DK24" i="4"/>
  <c r="DL24" i="4" s="1"/>
  <c r="DP24" i="4"/>
  <c r="DK56" i="4"/>
  <c r="DL56" i="4" s="1"/>
  <c r="DP56" i="4"/>
  <c r="AS55" i="4"/>
  <c r="AQ46" i="4"/>
  <c r="DN46" i="4"/>
  <c r="DK45" i="4"/>
  <c r="DL45" i="4" s="1"/>
  <c r="DN45" i="4"/>
  <c r="DN57" i="4"/>
  <c r="AU57" i="4"/>
  <c r="AQ51" i="4"/>
  <c r="AQ40" i="4"/>
  <c r="AU33" i="4"/>
  <c r="AS33" i="4"/>
  <c r="AS28" i="4"/>
  <c r="AO27" i="4"/>
  <c r="AQ27" i="4"/>
  <c r="AO47" i="4"/>
  <c r="AU50" i="4"/>
  <c r="DP50" i="4"/>
  <c r="DK52" i="4"/>
  <c r="DL52" i="4" s="1"/>
  <c r="DN52" i="4"/>
  <c r="AQ49" i="4"/>
  <c r="AO49" i="4"/>
  <c r="AU43" i="4"/>
  <c r="DN35" i="4"/>
  <c r="DK35" i="4"/>
  <c r="DL35" i="4" s="1"/>
  <c r="DN26" i="4"/>
  <c r="DK26" i="4"/>
  <c r="DL26" i="4" s="1"/>
  <c r="AQ25" i="4"/>
  <c r="AU25" i="4"/>
  <c r="AS48" i="4"/>
  <c r="DN48" i="4"/>
  <c r="DN39" i="4"/>
  <c r="AO39" i="4"/>
  <c r="AO34" i="4"/>
  <c r="DP34" i="4"/>
  <c r="AO36" i="4"/>
  <c r="DN36" i="4"/>
  <c r="AQ41" i="4"/>
  <c r="AS41" i="4"/>
  <c r="AS54" i="4"/>
  <c r="DP54" i="4"/>
  <c r="AO44" i="4"/>
  <c r="DN44" i="4"/>
  <c r="AO32" i="4"/>
  <c r="AU32" i="4"/>
  <c r="AU31" i="4"/>
  <c r="DP31" i="4"/>
  <c r="AU53" i="4"/>
  <c r="AS53" i="4"/>
  <c r="AO24" i="4"/>
  <c r="AU24" i="4"/>
  <c r="AO56" i="4"/>
  <c r="AU56" i="4"/>
  <c r="AU55" i="4"/>
  <c r="AQ55" i="4"/>
  <c r="AU46" i="4"/>
  <c r="DP45" i="4"/>
  <c r="DP57" i="4"/>
  <c r="AO51" i="4"/>
  <c r="AU51" i="4"/>
  <c r="DK40" i="4"/>
  <c r="DL40" i="4" s="1"/>
  <c r="DP40" i="4"/>
  <c r="DN33" i="4"/>
  <c r="DP33" i="4"/>
  <c r="DK28" i="4"/>
  <c r="DL28" i="4" s="1"/>
  <c r="DP28" i="4"/>
  <c r="AS27" i="4"/>
  <c r="DK27" i="4"/>
  <c r="DL27" i="4" s="1"/>
  <c r="AU47" i="4"/>
  <c r="AS47" i="4"/>
  <c r="AO50" i="4"/>
  <c r="DN50" i="4"/>
  <c r="AO52" i="4"/>
  <c r="AU49" i="4"/>
  <c r="AS49" i="4"/>
  <c r="DP43" i="4"/>
  <c r="AQ43" i="4"/>
  <c r="AQ35" i="4"/>
  <c r="AQ26" i="4"/>
  <c r="DP26" i="4"/>
  <c r="DN25" i="4"/>
  <c r="AQ48" i="4"/>
  <c r="AS39" i="4"/>
  <c r="AS34" i="4"/>
  <c r="DN34" i="4"/>
  <c r="AS36" i="4"/>
  <c r="DN41" i="4"/>
  <c r="AU41" i="4"/>
  <c r="AQ54" i="4"/>
  <c r="DN54" i="4"/>
  <c r="AS44" i="4"/>
  <c r="AS32" i="4"/>
  <c r="DN32" i="4"/>
  <c r="DK31" i="4"/>
  <c r="DL31" i="4" s="1"/>
  <c r="AO31" i="4"/>
  <c r="AQ53" i="4"/>
  <c r="DK53" i="4"/>
  <c r="DL53" i="4" s="1"/>
  <c r="AS24" i="4"/>
  <c r="DN24" i="4"/>
  <c r="AS56" i="4"/>
  <c r="DN56" i="4"/>
  <c r="DP55" i="4"/>
  <c r="DK55" i="4"/>
  <c r="DL55" i="4" s="1"/>
  <c r="AO46" i="4"/>
  <c r="DK46" i="4"/>
  <c r="DL46" i="4" s="1"/>
  <c r="AU45" i="4"/>
  <c r="AO45" i="4"/>
  <c r="DK57" i="4"/>
  <c r="DL57" i="4" s="1"/>
  <c r="AO57" i="4"/>
  <c r="DP51" i="4"/>
  <c r="AS51" i="4"/>
  <c r="AO40" i="4"/>
  <c r="AU40" i="4"/>
  <c r="DK33" i="4"/>
  <c r="DL33" i="4" s="1"/>
  <c r="AQ28" i="4"/>
  <c r="AU28" i="4"/>
  <c r="AU27" i="4"/>
  <c r="DK47" i="4"/>
  <c r="DL47" i="4" s="1"/>
  <c r="AQ47" i="4"/>
  <c r="AS50" i="4"/>
  <c r="AS52" i="4"/>
  <c r="DP52" i="4"/>
  <c r="DN49" i="4"/>
  <c r="DP49" i="4"/>
  <c r="AO43" i="4"/>
  <c r="DK43" i="4"/>
  <c r="DL43" i="4" s="1"/>
  <c r="AO35" i="4"/>
  <c r="AU35" i="4"/>
  <c r="AO26" i="4"/>
  <c r="AO25" i="4"/>
  <c r="DP25" i="4"/>
  <c r="BO46" i="4"/>
  <c r="CE46" i="4" s="1"/>
  <c r="DP12" i="4"/>
  <c r="BO18" i="4"/>
  <c r="CE18" i="4" s="1"/>
  <c r="DI41" i="4"/>
  <c r="DI39" i="4"/>
  <c r="DI28" i="4"/>
  <c r="DI57" i="4"/>
  <c r="DI31" i="4"/>
  <c r="DI54" i="4"/>
  <c r="DI36" i="4"/>
  <c r="DI32" i="4"/>
  <c r="DI49" i="4"/>
  <c r="DI33" i="4"/>
  <c r="DI34" i="4"/>
  <c r="BO44" i="4"/>
  <c r="DI55" i="4"/>
  <c r="BO26" i="4"/>
  <c r="CE26" i="4" s="1"/>
  <c r="DI47" i="4"/>
  <c r="DI56" i="4"/>
  <c r="DI43" i="4"/>
  <c r="DI35" i="4"/>
  <c r="DI40" i="4"/>
  <c r="DI45" i="4"/>
  <c r="DI27" i="4"/>
  <c r="DI48" i="4"/>
  <c r="DI46" i="4"/>
  <c r="DI26" i="4"/>
  <c r="DI44" i="4"/>
  <c r="FC44" i="4"/>
  <c r="FM44" i="4"/>
  <c r="FN44" i="4" s="1"/>
  <c r="FK44" i="4"/>
  <c r="FL44" i="4" s="1"/>
  <c r="AH44" i="4"/>
  <c r="AL36" i="8" s="1"/>
  <c r="AF44" i="4"/>
  <c r="AJ36" i="8" s="1"/>
  <c r="FT44" i="4"/>
  <c r="FC56" i="4"/>
  <c r="FM56" i="4"/>
  <c r="FN56" i="4" s="1"/>
  <c r="FK56" i="4"/>
  <c r="FL56" i="4" s="1"/>
  <c r="AH56" i="4"/>
  <c r="AL48" i="8" s="1"/>
  <c r="AF56" i="4"/>
  <c r="AJ48" i="8" s="1"/>
  <c r="FT56" i="4"/>
  <c r="FM55" i="4"/>
  <c r="FN55" i="4" s="1"/>
  <c r="FK55" i="4"/>
  <c r="FL55" i="4" s="1"/>
  <c r="AF55" i="4"/>
  <c r="AJ47" i="8" s="1"/>
  <c r="AH55" i="4"/>
  <c r="AL47" i="8" s="1"/>
  <c r="FT55" i="4"/>
  <c r="FC46" i="4"/>
  <c r="FM46" i="4"/>
  <c r="FN46" i="4" s="1"/>
  <c r="FK46" i="4"/>
  <c r="FL46" i="4" s="1"/>
  <c r="AF46" i="4"/>
  <c r="AJ38" i="8" s="1"/>
  <c r="AH46" i="4"/>
  <c r="AL38" i="8" s="1"/>
  <c r="FT46" i="4"/>
  <c r="FC43" i="4"/>
  <c r="FK43" i="4"/>
  <c r="FL43" i="4" s="1"/>
  <c r="FM43" i="4"/>
  <c r="FN43" i="4" s="1"/>
  <c r="AF43" i="4"/>
  <c r="AJ35" i="8" s="1"/>
  <c r="AH43" i="4"/>
  <c r="AL35" i="8" s="1"/>
  <c r="FT43" i="4"/>
  <c r="FU42" i="4" s="1"/>
  <c r="FV42" i="4" s="1"/>
  <c r="FB55" i="4"/>
  <c r="FH55" i="4"/>
  <c r="FI55" i="4" s="1"/>
  <c r="FD55" i="4"/>
  <c r="FE55" i="4" s="1"/>
  <c r="FF55" i="4"/>
  <c r="FG55" i="4" s="1"/>
  <c r="AB55" i="4"/>
  <c r="AF47" i="8" s="1"/>
  <c r="AD55" i="4"/>
  <c r="AH47" i="8" s="1"/>
  <c r="Z55" i="4"/>
  <c r="FC48" i="4"/>
  <c r="FM48" i="4"/>
  <c r="FN48" i="4" s="1"/>
  <c r="FK48" i="4"/>
  <c r="FL48" i="4" s="1"/>
  <c r="AH48" i="4"/>
  <c r="AL40" i="8" s="1"/>
  <c r="AF48" i="4"/>
  <c r="AJ40" i="8" s="1"/>
  <c r="FT48" i="4"/>
  <c r="FC57" i="4"/>
  <c r="FK57" i="4"/>
  <c r="FL57" i="4" s="1"/>
  <c r="FM57" i="4"/>
  <c r="FN57" i="4" s="1"/>
  <c r="AF57" i="4"/>
  <c r="AJ49" i="8" s="1"/>
  <c r="AH57" i="4"/>
  <c r="AL49" i="8" s="1"/>
  <c r="FT57" i="4"/>
  <c r="FC45" i="4"/>
  <c r="FK45" i="4"/>
  <c r="FL45" i="4" s="1"/>
  <c r="FM45" i="4"/>
  <c r="FN45" i="4" s="1"/>
  <c r="AF45" i="4"/>
  <c r="AJ37" i="8" s="1"/>
  <c r="AH45" i="4"/>
  <c r="AL37" i="8" s="1"/>
  <c r="FT45" i="4"/>
  <c r="FC54" i="4"/>
  <c r="FM54" i="4"/>
  <c r="FN54" i="4" s="1"/>
  <c r="FK54" i="4"/>
  <c r="FL54" i="4" s="1"/>
  <c r="AF54" i="4"/>
  <c r="AJ46" i="8" s="1"/>
  <c r="AH54" i="4"/>
  <c r="AL46" i="8" s="1"/>
  <c r="FT54" i="4"/>
  <c r="FC52" i="4"/>
  <c r="FM52" i="4"/>
  <c r="FN52" i="4" s="1"/>
  <c r="FK52" i="4"/>
  <c r="FL52" i="4" s="1"/>
  <c r="AH52" i="4"/>
  <c r="AL44" i="8" s="1"/>
  <c r="AF52" i="4"/>
  <c r="AJ44" i="8" s="1"/>
  <c r="FT52" i="4"/>
  <c r="FC53" i="4"/>
  <c r="FK53" i="4"/>
  <c r="FL53" i="4" s="1"/>
  <c r="FM53" i="4"/>
  <c r="FN53" i="4" s="1"/>
  <c r="AH53" i="4"/>
  <c r="AL45" i="8" s="1"/>
  <c r="AF53" i="4"/>
  <c r="AJ45" i="8" s="1"/>
  <c r="FT53" i="4"/>
  <c r="FC47" i="4"/>
  <c r="FK47" i="4"/>
  <c r="FL47" i="4" s="1"/>
  <c r="FM47" i="4"/>
  <c r="FN47" i="4" s="1"/>
  <c r="AH47" i="4"/>
  <c r="AL39" i="8" s="1"/>
  <c r="AF47" i="4"/>
  <c r="AJ39" i="8" s="1"/>
  <c r="FT47" i="4"/>
  <c r="FC40" i="4"/>
  <c r="FM40" i="4"/>
  <c r="FN40" i="4" s="1"/>
  <c r="FK40" i="4"/>
  <c r="FL40" i="4" s="1"/>
  <c r="AH40" i="4"/>
  <c r="AL32" i="8" s="1"/>
  <c r="AF40" i="4"/>
  <c r="AJ32" i="8" s="1"/>
  <c r="FT40" i="4"/>
  <c r="FU40" i="4" s="1"/>
  <c r="FV40" i="4" s="1"/>
  <c r="FB41" i="4"/>
  <c r="FH41" i="4"/>
  <c r="FI41" i="4" s="1"/>
  <c r="FD41" i="4"/>
  <c r="FE41" i="4" s="1"/>
  <c r="FF41" i="4"/>
  <c r="FG41" i="4" s="1"/>
  <c r="AD41" i="4"/>
  <c r="AH33" i="8" s="1"/>
  <c r="AB41" i="4"/>
  <c r="AF33" i="8" s="1"/>
  <c r="Z41" i="4"/>
  <c r="FC49" i="4"/>
  <c r="FM49" i="4"/>
  <c r="FN49" i="4" s="1"/>
  <c r="FK49" i="4"/>
  <c r="FL49" i="4" s="1"/>
  <c r="AH49" i="4"/>
  <c r="AL41" i="8" s="1"/>
  <c r="AF49" i="4"/>
  <c r="AJ41" i="8" s="1"/>
  <c r="FT49" i="4"/>
  <c r="FC50" i="4"/>
  <c r="FM50" i="4"/>
  <c r="FN50" i="4" s="1"/>
  <c r="FK50" i="4"/>
  <c r="FL50" i="4" s="1"/>
  <c r="AF50" i="4"/>
  <c r="AJ42" i="8" s="1"/>
  <c r="AH50" i="4"/>
  <c r="AL42" i="8" s="1"/>
  <c r="FT50" i="4"/>
  <c r="FC51" i="4"/>
  <c r="FK51" i="4"/>
  <c r="FL51" i="4" s="1"/>
  <c r="FM51" i="4"/>
  <c r="FN51" i="4" s="1"/>
  <c r="AF51" i="4"/>
  <c r="AJ43" i="8" s="1"/>
  <c r="AH51" i="4"/>
  <c r="AL43" i="8" s="1"/>
  <c r="FT51" i="4"/>
  <c r="CC21" i="4"/>
  <c r="BY21" i="4"/>
  <c r="BW21" i="4"/>
  <c r="BV21" i="4"/>
  <c r="BX21" i="4"/>
  <c r="CI21" i="4"/>
  <c r="CG21" i="4"/>
  <c r="CF21" i="4"/>
  <c r="CD21" i="4"/>
  <c r="BY34" i="4"/>
  <c r="BW34" i="4"/>
  <c r="BV34" i="4"/>
  <c r="BX34" i="4"/>
  <c r="CD34" i="4"/>
  <c r="CI34" i="4"/>
  <c r="CG34" i="4"/>
  <c r="CF34" i="4"/>
  <c r="CC26" i="4"/>
  <c r="BY26" i="4"/>
  <c r="BV26" i="4"/>
  <c r="BW26" i="4"/>
  <c r="BX26" i="4"/>
  <c r="CG26" i="4"/>
  <c r="CI26" i="4"/>
  <c r="CD26" i="4"/>
  <c r="CF26" i="4"/>
  <c r="CC47" i="4"/>
  <c r="BY47" i="4"/>
  <c r="BV47" i="4"/>
  <c r="BW47" i="4"/>
  <c r="BX47" i="4"/>
  <c r="CG47" i="4"/>
  <c r="CD47" i="4"/>
  <c r="CI47" i="4"/>
  <c r="CF47" i="4"/>
  <c r="CC55" i="4"/>
  <c r="BY55" i="4"/>
  <c r="BW55" i="4"/>
  <c r="BV55" i="4"/>
  <c r="BX55" i="4"/>
  <c r="CG55" i="4"/>
  <c r="CD55" i="4"/>
  <c r="CI55" i="4"/>
  <c r="CF55" i="4"/>
  <c r="BV30" i="4"/>
  <c r="CC49" i="4"/>
  <c r="BY49" i="4"/>
  <c r="BV49" i="4"/>
  <c r="BW49" i="4"/>
  <c r="BX49" i="4"/>
  <c r="CG49" i="4"/>
  <c r="CI49" i="4"/>
  <c r="CD49" i="4"/>
  <c r="CF49" i="4"/>
  <c r="CC39" i="4"/>
  <c r="BY39" i="4"/>
  <c r="BV39" i="4"/>
  <c r="BW39" i="4"/>
  <c r="BX39" i="4"/>
  <c r="CG39" i="4"/>
  <c r="CI39" i="4"/>
  <c r="CD39" i="4"/>
  <c r="CF39" i="4"/>
  <c r="BW44" i="4"/>
  <c r="CC51" i="4"/>
  <c r="BY51" i="4"/>
  <c r="BV51" i="4"/>
  <c r="BW51" i="4"/>
  <c r="BX51" i="4"/>
  <c r="CG51" i="4"/>
  <c r="CD51" i="4"/>
  <c r="CI51" i="4"/>
  <c r="CF51" i="4"/>
  <c r="CC56" i="4"/>
  <c r="BY56" i="4"/>
  <c r="BV56" i="4"/>
  <c r="BW56" i="4"/>
  <c r="BX56" i="4"/>
  <c r="CI56" i="4"/>
  <c r="CG56" i="4"/>
  <c r="CF56" i="4"/>
  <c r="CD56" i="4"/>
  <c r="BV18" i="4"/>
  <c r="CI18" i="4"/>
  <c r="CC35" i="4"/>
  <c r="BY35" i="4"/>
  <c r="BV35" i="4"/>
  <c r="BW35" i="4"/>
  <c r="BX35" i="4"/>
  <c r="CG35" i="4"/>
  <c r="CI35" i="4"/>
  <c r="CD35" i="4"/>
  <c r="CF35" i="4"/>
  <c r="CC57" i="4"/>
  <c r="BY57" i="4"/>
  <c r="BW57" i="4"/>
  <c r="BV57" i="4"/>
  <c r="BX57" i="4"/>
  <c r="CG57" i="4"/>
  <c r="CI57" i="4"/>
  <c r="CD57" i="4"/>
  <c r="CF57" i="4"/>
  <c r="CC45" i="4"/>
  <c r="BY45" i="4"/>
  <c r="BW45" i="4"/>
  <c r="BV45" i="4"/>
  <c r="BX45" i="4"/>
  <c r="CG45" i="4"/>
  <c r="CI45" i="4"/>
  <c r="CD45" i="4"/>
  <c r="CF45" i="4"/>
  <c r="BY32" i="4"/>
  <c r="BW32" i="4"/>
  <c r="BV32" i="4"/>
  <c r="BX32" i="4"/>
  <c r="CF32" i="4"/>
  <c r="CG32" i="4"/>
  <c r="CI32" i="4"/>
  <c r="CC53" i="4"/>
  <c r="BY53" i="4"/>
  <c r="BV53" i="4"/>
  <c r="BW53" i="4"/>
  <c r="BX53" i="4"/>
  <c r="CG53" i="4"/>
  <c r="CI53" i="4"/>
  <c r="CD53" i="4"/>
  <c r="CF53" i="4"/>
  <c r="CC46" i="4"/>
  <c r="BY46" i="4"/>
  <c r="BV46" i="4"/>
  <c r="BW46" i="4"/>
  <c r="BX46" i="4"/>
  <c r="CI46" i="4"/>
  <c r="CF46" i="4"/>
  <c r="CG46" i="4"/>
  <c r="CD46" i="4"/>
  <c r="CC36" i="4"/>
  <c r="BY36" i="4"/>
  <c r="BW36" i="4"/>
  <c r="BV36" i="4"/>
  <c r="BX36" i="4"/>
  <c r="CI36" i="4"/>
  <c r="CF36" i="4"/>
  <c r="CG36" i="4"/>
  <c r="CD36" i="4"/>
  <c r="BY41" i="4"/>
  <c r="BW41" i="4"/>
  <c r="CG41" i="4"/>
  <c r="CI41" i="4"/>
  <c r="CC24" i="4"/>
  <c r="BY24" i="4"/>
  <c r="BV24" i="4"/>
  <c r="BW24" i="4"/>
  <c r="BX24" i="4"/>
  <c r="CG24" i="4"/>
  <c r="CI24" i="4"/>
  <c r="CD24" i="4"/>
  <c r="CF24" i="4"/>
  <c r="CC52" i="4"/>
  <c r="BY52" i="4"/>
  <c r="BW52" i="4"/>
  <c r="BV52" i="4"/>
  <c r="BX52" i="4"/>
  <c r="CI52" i="4"/>
  <c r="CG52" i="4"/>
  <c r="CF52" i="4"/>
  <c r="CD52" i="4"/>
  <c r="CC33" i="4"/>
  <c r="BY33" i="4"/>
  <c r="BV33" i="4"/>
  <c r="BW33" i="4"/>
  <c r="BX33" i="4"/>
  <c r="CF33" i="4"/>
  <c r="CG33" i="4"/>
  <c r="CI33" i="4"/>
  <c r="BO43" i="4"/>
  <c r="CE43" i="4" s="1"/>
  <c r="CE34" i="4"/>
  <c r="CC34" i="4"/>
  <c r="BO50" i="4"/>
  <c r="CE50" i="4" s="1"/>
  <c r="CD32" i="4"/>
  <c r="CC32" i="4"/>
  <c r="BO40" i="4"/>
  <c r="CE40" i="4" s="1"/>
  <c r="BO20" i="4"/>
  <c r="CE20" i="4" s="1"/>
  <c r="BO38" i="4"/>
  <c r="CE38" i="4" s="1"/>
  <c r="FC36" i="4"/>
  <c r="FM36" i="4"/>
  <c r="FN36" i="4" s="1"/>
  <c r="FK36" i="4"/>
  <c r="FL36" i="4" s="1"/>
  <c r="AF36" i="4"/>
  <c r="AJ28" i="8" s="1"/>
  <c r="AH36" i="4"/>
  <c r="AL28" i="8" s="1"/>
  <c r="FT36" i="4"/>
  <c r="FU36" i="4" s="1"/>
  <c r="FV36" i="4" s="1"/>
  <c r="FC21" i="4"/>
  <c r="Z21" i="4" s="1"/>
  <c r="FK21" i="4"/>
  <c r="FL21" i="4" s="1"/>
  <c r="AH21" i="4"/>
  <c r="AL13" i="8" s="1"/>
  <c r="AF21" i="4"/>
  <c r="AJ13" i="8" s="1"/>
  <c r="FM21" i="4"/>
  <c r="FN21" i="4" s="1"/>
  <c r="FT21" i="4"/>
  <c r="FC15" i="4"/>
  <c r="FB15" i="4" s="1"/>
  <c r="FK15" i="4"/>
  <c r="AH15" i="4"/>
  <c r="AL7" i="8" s="1"/>
  <c r="FM15" i="4"/>
  <c r="AF15" i="4"/>
  <c r="AJ7" i="8" s="1"/>
  <c r="FT15" i="4"/>
  <c r="FC24" i="4"/>
  <c r="FD24" i="4" s="1"/>
  <c r="FE24" i="4" s="1"/>
  <c r="FM24" i="4"/>
  <c r="FN24" i="4" s="1"/>
  <c r="FK24" i="4"/>
  <c r="FL24" i="4" s="1"/>
  <c r="AH24" i="4"/>
  <c r="AL16" i="8" s="1"/>
  <c r="AF24" i="4"/>
  <c r="AJ16" i="8" s="1"/>
  <c r="FM19" i="4"/>
  <c r="FN19" i="4" s="1"/>
  <c r="AH19" i="4"/>
  <c r="AL11" i="8" s="1"/>
  <c r="FK19" i="4"/>
  <c r="FL19" i="4" s="1"/>
  <c r="AF19" i="4"/>
  <c r="AJ11" i="8" s="1"/>
  <c r="FT19" i="4"/>
  <c r="FC35" i="4"/>
  <c r="FK35" i="4"/>
  <c r="FL35" i="4" s="1"/>
  <c r="FM35" i="4"/>
  <c r="FN35" i="4" s="1"/>
  <c r="AH35" i="4"/>
  <c r="AL27" i="8" s="1"/>
  <c r="AF35" i="4"/>
  <c r="AJ27" i="8" s="1"/>
  <c r="FT35" i="4"/>
  <c r="FC31" i="4"/>
  <c r="FK31" i="4"/>
  <c r="FL31" i="4" s="1"/>
  <c r="FM31" i="4"/>
  <c r="FN31" i="4" s="1"/>
  <c r="AH31" i="4"/>
  <c r="AL23" i="8" s="1"/>
  <c r="AF31" i="4"/>
  <c r="AJ23" i="8" s="1"/>
  <c r="FT31" i="4"/>
  <c r="FD14" i="4"/>
  <c r="FE14" i="4" s="1"/>
  <c r="FH14" i="4"/>
  <c r="FI14" i="4" s="1"/>
  <c r="FC38" i="4"/>
  <c r="FM38" i="4"/>
  <c r="FN38" i="4" s="1"/>
  <c r="FK38" i="4"/>
  <c r="FL38" i="4" s="1"/>
  <c r="AH38" i="4"/>
  <c r="AL30" i="8" s="1"/>
  <c r="AF38" i="4"/>
  <c r="AJ30" i="8" s="1"/>
  <c r="FT38" i="4"/>
  <c r="FU26" i="4"/>
  <c r="FV26" i="4" s="1"/>
  <c r="FP16" i="4" s="1"/>
  <c r="FV17" i="4"/>
  <c r="FC23" i="4"/>
  <c r="FF23" i="4" s="1"/>
  <c r="FG23" i="4" s="1"/>
  <c r="AF23" i="4"/>
  <c r="AJ15" i="8" s="1"/>
  <c r="FM23" i="4"/>
  <c r="FN23" i="4" s="1"/>
  <c r="FK23" i="4"/>
  <c r="FL23" i="4" s="1"/>
  <c r="AH23" i="4"/>
  <c r="AL15" i="8" s="1"/>
  <c r="FT23" i="4"/>
  <c r="FU22" i="4" s="1"/>
  <c r="FV22" i="4" s="1"/>
  <c r="FH16" i="4"/>
  <c r="FI16" i="4" s="1"/>
  <c r="AD16" i="4"/>
  <c r="AH8" i="8" s="1"/>
  <c r="FC18" i="4"/>
  <c r="FB18" i="4" s="1"/>
  <c r="FK18" i="4"/>
  <c r="FL18" i="4" s="1"/>
  <c r="FM18" i="4"/>
  <c r="FN18" i="4" s="1"/>
  <c r="AF18" i="4"/>
  <c r="AJ10" i="8" s="1"/>
  <c r="AH18" i="4"/>
  <c r="AL10" i="8" s="1"/>
  <c r="FT18" i="4"/>
  <c r="FM20" i="4"/>
  <c r="FN20" i="4" s="1"/>
  <c r="FK20" i="4"/>
  <c r="FL20" i="4" s="1"/>
  <c r="AF20" i="4"/>
  <c r="AJ12" i="8" s="1"/>
  <c r="AH20" i="4"/>
  <c r="AL12" i="8" s="1"/>
  <c r="FT20" i="4"/>
  <c r="FC25" i="4"/>
  <c r="FB25" i="4" s="1"/>
  <c r="FK25" i="4"/>
  <c r="FL25" i="4" s="1"/>
  <c r="FM25" i="4"/>
  <c r="FN25" i="4" s="1"/>
  <c r="AF25" i="4"/>
  <c r="AJ17" i="8" s="1"/>
  <c r="AH25" i="4"/>
  <c r="AL17" i="8" s="1"/>
  <c r="FT25" i="4"/>
  <c r="FB27" i="4"/>
  <c r="FF27" i="4"/>
  <c r="FG27" i="4" s="1"/>
  <c r="FH27" i="4"/>
  <c r="FI27" i="4" s="1"/>
  <c r="AB27" i="4"/>
  <c r="AF19" i="8" s="1"/>
  <c r="AD27" i="4"/>
  <c r="AH19" i="8" s="1"/>
  <c r="FD27" i="4"/>
  <c r="FE27" i="4" s="1"/>
  <c r="Z27" i="4"/>
  <c r="Z12" i="4"/>
  <c r="AD4" i="8" s="1"/>
  <c r="FH12" i="4"/>
  <c r="FD12" i="4"/>
  <c r="FE12" i="4" s="1"/>
  <c r="AD12" i="4"/>
  <c r="AH4" i="8" s="1"/>
  <c r="FC32" i="4"/>
  <c r="FM32" i="4"/>
  <c r="FN32" i="4" s="1"/>
  <c r="FK32" i="4"/>
  <c r="FL32" i="4" s="1"/>
  <c r="AF32" i="4"/>
  <c r="AJ24" i="8" s="1"/>
  <c r="AH32" i="4"/>
  <c r="AL24" i="8" s="1"/>
  <c r="FT32" i="4"/>
  <c r="FC34" i="4"/>
  <c r="FM34" i="4"/>
  <c r="FN34" i="4" s="1"/>
  <c r="FK34" i="4"/>
  <c r="FL34" i="4" s="1"/>
  <c r="AH34" i="4"/>
  <c r="AL26" i="8" s="1"/>
  <c r="AF34" i="4"/>
  <c r="AJ26" i="8" s="1"/>
  <c r="FT34" i="4"/>
  <c r="FC30" i="4"/>
  <c r="FM30" i="4"/>
  <c r="FN30" i="4" s="1"/>
  <c r="FK30" i="4"/>
  <c r="FL30" i="4" s="1"/>
  <c r="AH30" i="4"/>
  <c r="AL22" i="8" s="1"/>
  <c r="AF30" i="4"/>
  <c r="AJ22" i="8" s="1"/>
  <c r="FT30" i="4"/>
  <c r="FC39" i="4"/>
  <c r="FD39" i="4" s="1"/>
  <c r="FE39" i="4" s="1"/>
  <c r="FK39" i="4"/>
  <c r="FL39" i="4" s="1"/>
  <c r="FM39" i="4"/>
  <c r="FN39" i="4" s="1"/>
  <c r="AH39" i="4"/>
  <c r="AL31" i="8" s="1"/>
  <c r="AF39" i="4"/>
  <c r="AJ31" i="8" s="1"/>
  <c r="FT39" i="4"/>
  <c r="FC33" i="4"/>
  <c r="FK33" i="4"/>
  <c r="FL33" i="4" s="1"/>
  <c r="FM33" i="4"/>
  <c r="FN33" i="4" s="1"/>
  <c r="AH33" i="4"/>
  <c r="AL25" i="8" s="1"/>
  <c r="AF33" i="4"/>
  <c r="AJ25" i="8" s="1"/>
  <c r="FT33" i="4"/>
  <c r="FB26" i="4"/>
  <c r="FD26" i="4"/>
  <c r="FE26" i="4" s="1"/>
  <c r="Z26" i="4"/>
  <c r="AD26" i="4"/>
  <c r="AH18" i="8" s="1"/>
  <c r="FH26" i="4"/>
  <c r="FI26" i="4" s="1"/>
  <c r="FF26" i="4"/>
  <c r="FG26" i="4" s="1"/>
  <c r="AB26" i="4"/>
  <c r="AF18" i="8" s="1"/>
  <c r="FB28" i="4"/>
  <c r="FD28" i="4"/>
  <c r="FE28" i="4" s="1"/>
  <c r="Z28" i="4"/>
  <c r="AB28" i="4"/>
  <c r="AF20" i="8" s="1"/>
  <c r="AD28" i="4"/>
  <c r="AH20" i="8" s="1"/>
  <c r="FH28" i="4"/>
  <c r="FI28" i="4" s="1"/>
  <c r="FF28" i="4"/>
  <c r="FG28" i="4" s="1"/>
  <c r="BO25" i="4"/>
  <c r="CE25" i="4" s="1"/>
  <c r="BO27" i="4"/>
  <c r="CE27" i="4" s="1"/>
  <c r="FB12" i="4"/>
  <c r="AB12" i="4"/>
  <c r="FF12" i="4"/>
  <c r="BO19" i="4"/>
  <c r="CE19" i="4" s="1"/>
  <c r="DE14" i="4"/>
  <c r="DF14" i="4" s="1"/>
  <c r="DG14" i="4" s="1"/>
  <c r="DA14" i="4" s="1"/>
  <c r="DB14" i="4" s="1"/>
  <c r="CP16" i="4"/>
  <c r="CQ16" i="4" s="1"/>
  <c r="CP14" i="4"/>
  <c r="Z14" i="4"/>
  <c r="AD6" i="8" s="1"/>
  <c r="FF16" i="4"/>
  <c r="FG16" i="4" s="1"/>
  <c r="AB16" i="4"/>
  <c r="AF8" i="8" s="1"/>
  <c r="FB14" i="4"/>
  <c r="FF14" i="4"/>
  <c r="FG14" i="4" s="1"/>
  <c r="AB14" i="4"/>
  <c r="AF6" i="8" s="1"/>
  <c r="BO14" i="4"/>
  <c r="CD14" i="4" s="1"/>
  <c r="BO15" i="4"/>
  <c r="F5" i="8"/>
  <c r="B14" i="4"/>
  <c r="DI53" i="4"/>
  <c r="DI25" i="4"/>
  <c r="DI24" i="4"/>
  <c r="DI23" i="4"/>
  <c r="DI19" i="4"/>
  <c r="DI21" i="4"/>
  <c r="DI20" i="4"/>
  <c r="DI50" i="4"/>
  <c r="DI51" i="4"/>
  <c r="DI52" i="4"/>
  <c r="DI18" i="4"/>
  <c r="CD33" i="4"/>
  <c r="CE33" i="4"/>
  <c r="FF15" i="4"/>
  <c r="AB15" i="4"/>
  <c r="AF7" i="8" s="1"/>
  <c r="Z15" i="4"/>
  <c r="CF14" i="4"/>
  <c r="FB16" i="4"/>
  <c r="Z16" i="4"/>
  <c r="FD16" i="4"/>
  <c r="FC19" i="4"/>
  <c r="FT13" i="4"/>
  <c r="CT14" i="4"/>
  <c r="CV14" i="4"/>
  <c r="AH14" i="4"/>
  <c r="AL6" i="8" s="1"/>
  <c r="AF14" i="4"/>
  <c r="AJ6" i="8" s="1"/>
  <c r="AD14" i="4"/>
  <c r="CX14" i="4"/>
  <c r="BO28" i="4"/>
  <c r="FC20" i="4"/>
  <c r="FT12" i="4"/>
  <c r="BO31" i="4"/>
  <c r="CE31" i="4" s="1"/>
  <c r="BO48" i="4"/>
  <c r="CE48" i="4" s="1"/>
  <c r="BO23" i="4"/>
  <c r="BO16" i="4"/>
  <c r="CE16" i="4" s="1"/>
  <c r="BO54" i="4"/>
  <c r="CE54" i="4" s="1"/>
  <c r="FU14" i="4" l="1"/>
  <c r="FV14" i="4" s="1"/>
  <c r="DR24" i="4"/>
  <c r="DR74" i="4"/>
  <c r="F35" i="3" s="1"/>
  <c r="DR76" i="4"/>
  <c r="L35" i="3" s="1"/>
  <c r="DR73" i="4"/>
  <c r="DR77" i="4"/>
  <c r="DR75" i="4"/>
  <c r="F36" i="3" s="1"/>
  <c r="DR78" i="4"/>
  <c r="L36" i="3" s="1"/>
  <c r="AB23" i="4"/>
  <c r="AF15" i="8" s="1"/>
  <c r="FP29" i="4"/>
  <c r="GE16" i="4"/>
  <c r="EG26" i="4"/>
  <c r="EH26" i="4" s="1"/>
  <c r="EI26" i="4" s="1"/>
  <c r="GE21" i="4"/>
  <c r="CE14" i="4"/>
  <c r="FD15" i="4"/>
  <c r="GE20" i="4"/>
  <c r="GE19" i="4"/>
  <c r="CF18" i="4"/>
  <c r="BX18" i="4"/>
  <c r="CC18" i="4"/>
  <c r="GE18" i="4"/>
  <c r="CD18" i="4"/>
  <c r="BW18" i="4"/>
  <c r="FD21" i="4"/>
  <c r="FE21" i="4" s="1"/>
  <c r="CG18" i="4"/>
  <c r="BY18" i="4"/>
  <c r="DY46" i="4"/>
  <c r="DZ46" i="4" s="1"/>
  <c r="DY52" i="4"/>
  <c r="DZ52" i="4" s="1"/>
  <c r="DY56" i="4"/>
  <c r="DZ56" i="4" s="1"/>
  <c r="GW12" i="4"/>
  <c r="EH32" i="4"/>
  <c r="EI32" i="4" s="1"/>
  <c r="EC32" i="4" s="1"/>
  <c r="EH24" i="4"/>
  <c r="EI24" i="4" s="1"/>
  <c r="EB14" i="4" s="1"/>
  <c r="BA14" i="4" s="1"/>
  <c r="EH28" i="4"/>
  <c r="EI28" i="4" s="1"/>
  <c r="EI29" i="4" s="1"/>
  <c r="EH30" i="4"/>
  <c r="EI30" i="4" s="1"/>
  <c r="EH34" i="4"/>
  <c r="EI34" i="4" s="1"/>
  <c r="EI35" i="4" s="1"/>
  <c r="EB35" i="4" s="1"/>
  <c r="BA35" i="4" s="1"/>
  <c r="DY26" i="4"/>
  <c r="DZ26" i="4" s="1"/>
  <c r="DY54" i="4"/>
  <c r="DZ54" i="4" s="1"/>
  <c r="EI43" i="4"/>
  <c r="EB43" i="4" s="1"/>
  <c r="BA43" i="4" s="1"/>
  <c r="EH36" i="4"/>
  <c r="EI36" i="4" s="1"/>
  <c r="EI37" i="4" s="1"/>
  <c r="EB37" i="4" s="1"/>
  <c r="BA37" i="4" s="1"/>
  <c r="EH54" i="4"/>
  <c r="EI54" i="4" s="1"/>
  <c r="EI55" i="4" s="1"/>
  <c r="EB55" i="4" s="1"/>
  <c r="BA55" i="4" s="1"/>
  <c r="EH56" i="4"/>
  <c r="EI56" i="4" s="1"/>
  <c r="EI57" i="4" s="1"/>
  <c r="EB57" i="4" s="1"/>
  <c r="BA57" i="4" s="1"/>
  <c r="EH40" i="4"/>
  <c r="EI40" i="4" s="1"/>
  <c r="EI41" i="4" s="1"/>
  <c r="EB41" i="4" s="1"/>
  <c r="BA41" i="4" s="1"/>
  <c r="CF30" i="4"/>
  <c r="EH38" i="4"/>
  <c r="EI38" i="4" s="1"/>
  <c r="EI39" i="4" s="1"/>
  <c r="EB39" i="4" s="1"/>
  <c r="BA39" i="4" s="1"/>
  <c r="EH48" i="4"/>
  <c r="EI48" i="4" s="1"/>
  <c r="EI49" i="4" s="1"/>
  <c r="EB49" i="4" s="1"/>
  <c r="BA49" i="4" s="1"/>
  <c r="DY40" i="4"/>
  <c r="DZ40" i="4" s="1"/>
  <c r="EI51" i="4"/>
  <c r="EB51" i="4" s="1"/>
  <c r="BA51" i="4" s="1"/>
  <c r="EB50" i="4"/>
  <c r="BA50" i="4" s="1"/>
  <c r="CF41" i="4"/>
  <c r="BX41" i="4"/>
  <c r="CC41" i="4"/>
  <c r="GE25" i="4"/>
  <c r="GE35" i="4"/>
  <c r="GE50" i="4"/>
  <c r="GE51" i="4"/>
  <c r="GE24" i="4"/>
  <c r="GE44" i="4"/>
  <c r="GE34" i="4"/>
  <c r="GE27" i="4"/>
  <c r="GE48" i="4"/>
  <c r="EI45" i="4"/>
  <c r="EB45" i="4" s="1"/>
  <c r="BA45" i="4" s="1"/>
  <c r="EB44" i="4"/>
  <c r="BA44" i="4" s="1"/>
  <c r="EI53" i="4"/>
  <c r="EB53" i="4" s="1"/>
  <c r="BA53" i="4" s="1"/>
  <c r="EB52" i="4"/>
  <c r="BA52" i="4" s="1"/>
  <c r="EB34" i="4"/>
  <c r="BA34" i="4" s="1"/>
  <c r="EB32" i="4"/>
  <c r="BA32" i="4" s="1"/>
  <c r="EB28" i="4"/>
  <c r="BA28" i="4" s="1"/>
  <c r="EB56" i="4"/>
  <c r="BA56" i="4" s="1"/>
  <c r="EB40" i="4"/>
  <c r="BA40" i="4" s="1"/>
  <c r="GE57" i="4"/>
  <c r="GE39" i="4"/>
  <c r="GE47" i="4"/>
  <c r="GE28" i="4"/>
  <c r="CD41" i="4"/>
  <c r="BV41" i="4"/>
  <c r="GE26" i="4"/>
  <c r="GE43" i="4"/>
  <c r="GE40" i="4"/>
  <c r="GE46" i="4"/>
  <c r="GE52" i="4"/>
  <c r="GE56" i="4"/>
  <c r="GE32" i="4"/>
  <c r="GE36" i="4"/>
  <c r="GE53" i="4"/>
  <c r="GE54" i="4"/>
  <c r="GE33" i="4"/>
  <c r="GE55" i="4"/>
  <c r="DY32" i="4"/>
  <c r="DZ32" i="4" s="1"/>
  <c r="GE45" i="4"/>
  <c r="GE31" i="4"/>
  <c r="GE49" i="4"/>
  <c r="GE41" i="4"/>
  <c r="EB38" i="4"/>
  <c r="BA38" i="4" s="1"/>
  <c r="EB48" i="4"/>
  <c r="BA48" i="4" s="1"/>
  <c r="EB36" i="4"/>
  <c r="BA36" i="4" s="1"/>
  <c r="EB54" i="4"/>
  <c r="BA54" i="4" s="1"/>
  <c r="EB26" i="4"/>
  <c r="BA26" i="4" s="1"/>
  <c r="EI47" i="4"/>
  <c r="EB47" i="4" s="1"/>
  <c r="BA47" i="4" s="1"/>
  <c r="EB46" i="4"/>
  <c r="BA46" i="4" s="1"/>
  <c r="EB30" i="4"/>
  <c r="BA30" i="4" s="1"/>
  <c r="DY30" i="4"/>
  <c r="DZ30" i="4" s="1"/>
  <c r="DY28" i="4"/>
  <c r="DZ28" i="4" s="1"/>
  <c r="DY36" i="4"/>
  <c r="DZ36" i="4" s="1"/>
  <c r="DY44" i="4"/>
  <c r="DZ44" i="4" s="1"/>
  <c r="AB21" i="4"/>
  <c r="AF13" i="8" s="1"/>
  <c r="AB24" i="4"/>
  <c r="AF16" i="8" s="1"/>
  <c r="CI30" i="4"/>
  <c r="BY30" i="4"/>
  <c r="EC20" i="4"/>
  <c r="DY50" i="4"/>
  <c r="DY42" i="4"/>
  <c r="DZ23" i="4"/>
  <c r="EC23" i="4"/>
  <c r="DY38" i="4"/>
  <c r="FB23" i="4"/>
  <c r="Z24" i="4"/>
  <c r="AD16" i="8" s="1"/>
  <c r="FF21" i="4"/>
  <c r="FG21" i="4" s="1"/>
  <c r="FF24" i="4"/>
  <c r="FG24" i="4" s="1"/>
  <c r="CD30" i="4"/>
  <c r="BX30" i="4"/>
  <c r="CC30" i="4"/>
  <c r="EC52" i="4"/>
  <c r="DY48" i="4"/>
  <c r="DY24" i="4"/>
  <c r="CG30" i="4"/>
  <c r="BW30" i="4"/>
  <c r="DY34" i="4"/>
  <c r="EC46" i="4"/>
  <c r="DZ20" i="4"/>
  <c r="CI15" i="4"/>
  <c r="CE15" i="4"/>
  <c r="FQ16" i="4"/>
  <c r="FB21" i="4"/>
  <c r="CC44" i="4"/>
  <c r="CE44" i="4"/>
  <c r="FB24" i="4"/>
  <c r="CF44" i="4"/>
  <c r="FU54" i="4"/>
  <c r="FV54" i="4" s="1"/>
  <c r="CG44" i="4"/>
  <c r="BV44" i="4"/>
  <c r="CI44" i="4"/>
  <c r="BY44" i="4"/>
  <c r="CD44" i="4"/>
  <c r="BX44" i="4"/>
  <c r="FV37" i="4"/>
  <c r="FP36" i="4"/>
  <c r="FB47" i="4"/>
  <c r="FH47" i="4"/>
  <c r="FI47" i="4" s="1"/>
  <c r="FD47" i="4"/>
  <c r="FE47" i="4" s="1"/>
  <c r="FF47" i="4"/>
  <c r="FG47" i="4" s="1"/>
  <c r="AB47" i="4"/>
  <c r="AF39" i="8" s="1"/>
  <c r="AD47" i="4"/>
  <c r="AH39" i="8" s="1"/>
  <c r="Z47" i="4"/>
  <c r="FV43" i="4"/>
  <c r="FP43" i="4" s="1"/>
  <c r="FB46" i="4"/>
  <c r="FD46" i="4"/>
  <c r="FE46" i="4" s="1"/>
  <c r="FF46" i="4"/>
  <c r="FG46" i="4" s="1"/>
  <c r="FH46" i="4"/>
  <c r="FI46" i="4" s="1"/>
  <c r="AB46" i="4"/>
  <c r="AF38" i="8" s="1"/>
  <c r="AD46" i="4"/>
  <c r="AH38" i="8" s="1"/>
  <c r="Z46" i="4"/>
  <c r="FB51" i="4"/>
  <c r="FH51" i="4"/>
  <c r="FI51" i="4" s="1"/>
  <c r="FD51" i="4"/>
  <c r="FE51" i="4" s="1"/>
  <c r="FF51" i="4"/>
  <c r="FG51" i="4" s="1"/>
  <c r="AB51" i="4"/>
  <c r="AF43" i="8" s="1"/>
  <c r="AD51" i="4"/>
  <c r="AH43" i="8" s="1"/>
  <c r="Z51" i="4"/>
  <c r="FB49" i="4"/>
  <c r="FH49" i="4"/>
  <c r="FI49" i="4" s="1"/>
  <c r="FD49" i="4"/>
  <c r="FE49" i="4" s="1"/>
  <c r="FF49" i="4"/>
  <c r="FG49" i="4" s="1"/>
  <c r="AD49" i="4"/>
  <c r="AH41" i="8" s="1"/>
  <c r="AB49" i="4"/>
  <c r="AF41" i="8" s="1"/>
  <c r="Z49" i="4"/>
  <c r="FV41" i="4"/>
  <c r="FU52" i="4"/>
  <c r="FV52" i="4" s="1"/>
  <c r="FP59" i="4" s="1"/>
  <c r="FQ59" i="4" s="1"/>
  <c r="GV59" i="4" s="1"/>
  <c r="FB54" i="4"/>
  <c r="FD54" i="4"/>
  <c r="FE54" i="4" s="1"/>
  <c r="FH54" i="4"/>
  <c r="FI54" i="4" s="1"/>
  <c r="FF54" i="4"/>
  <c r="FG54" i="4" s="1"/>
  <c r="AB54" i="4"/>
  <c r="AF46" i="8" s="1"/>
  <c r="AD54" i="4"/>
  <c r="AH46" i="8" s="1"/>
  <c r="Z54" i="4"/>
  <c r="FB57" i="4"/>
  <c r="FH57" i="4"/>
  <c r="FI57" i="4" s="1"/>
  <c r="FD57" i="4"/>
  <c r="FE57" i="4" s="1"/>
  <c r="FF57" i="4"/>
  <c r="FG57" i="4" s="1"/>
  <c r="AD57" i="4"/>
  <c r="AH49" i="8" s="1"/>
  <c r="AB57" i="4"/>
  <c r="AF49" i="8" s="1"/>
  <c r="Z57" i="4"/>
  <c r="GQ55" i="4"/>
  <c r="DJ55" i="4" s="1"/>
  <c r="AD47" i="8"/>
  <c r="GI55" i="4"/>
  <c r="GC55" i="4"/>
  <c r="FB43" i="4"/>
  <c r="FH43" i="4"/>
  <c r="FI43" i="4" s="1"/>
  <c r="FD43" i="4"/>
  <c r="FE43" i="4" s="1"/>
  <c r="FF43" i="4"/>
  <c r="FG43" i="4" s="1"/>
  <c r="AB43" i="4"/>
  <c r="AF35" i="8" s="1"/>
  <c r="AD43" i="4"/>
  <c r="AH35" i="8" s="1"/>
  <c r="Z43" i="4"/>
  <c r="FU50" i="4"/>
  <c r="FV50" i="4" s="1"/>
  <c r="GI41" i="4"/>
  <c r="AD33" i="8"/>
  <c r="GQ41" i="4"/>
  <c r="DJ41" i="4" s="1"/>
  <c r="GC41" i="4"/>
  <c r="FB40" i="4"/>
  <c r="FD40" i="4"/>
  <c r="FE40" i="4" s="1"/>
  <c r="FF40" i="4"/>
  <c r="FG40" i="4" s="1"/>
  <c r="FH40" i="4"/>
  <c r="FI40" i="4" s="1"/>
  <c r="AD40" i="4"/>
  <c r="AH32" i="8" s="1"/>
  <c r="AB40" i="4"/>
  <c r="AF32" i="8" s="1"/>
  <c r="Z40" i="4"/>
  <c r="FB52" i="4"/>
  <c r="FD52" i="4"/>
  <c r="FE52" i="4" s="1"/>
  <c r="FH52" i="4"/>
  <c r="FI52" i="4" s="1"/>
  <c r="FF52" i="4"/>
  <c r="FG52" i="4" s="1"/>
  <c r="AD52" i="4"/>
  <c r="AH44" i="8" s="1"/>
  <c r="AB52" i="4"/>
  <c r="AF44" i="8" s="1"/>
  <c r="Z52" i="4"/>
  <c r="FU48" i="4"/>
  <c r="FV48" i="4" s="1"/>
  <c r="FU56" i="4"/>
  <c r="FV56" i="4" s="1"/>
  <c r="FP63" i="4" s="1"/>
  <c r="FQ63" i="4" s="1"/>
  <c r="GV63" i="4" s="1"/>
  <c r="FU44" i="4"/>
  <c r="FV44" i="4" s="1"/>
  <c r="FB50" i="4"/>
  <c r="FD50" i="4"/>
  <c r="FE50" i="4" s="1"/>
  <c r="FF50" i="4"/>
  <c r="FG50" i="4" s="1"/>
  <c r="FH50" i="4"/>
  <c r="FI50" i="4" s="1"/>
  <c r="AD50" i="4"/>
  <c r="AH42" i="8" s="1"/>
  <c r="AB50" i="4"/>
  <c r="AF42" i="8" s="1"/>
  <c r="Z50" i="4"/>
  <c r="FB53" i="4"/>
  <c r="FH53" i="4"/>
  <c r="FI53" i="4" s="1"/>
  <c r="FD53" i="4"/>
  <c r="FE53" i="4" s="1"/>
  <c r="FF53" i="4"/>
  <c r="FG53" i="4" s="1"/>
  <c r="AD53" i="4"/>
  <c r="AH45" i="8" s="1"/>
  <c r="AB53" i="4"/>
  <c r="AF45" i="8" s="1"/>
  <c r="Z53" i="4"/>
  <c r="FB45" i="4"/>
  <c r="FH45" i="4"/>
  <c r="FI45" i="4" s="1"/>
  <c r="FD45" i="4"/>
  <c r="FE45" i="4" s="1"/>
  <c r="FF45" i="4"/>
  <c r="FG45" i="4" s="1"/>
  <c r="AD45" i="4"/>
  <c r="AH37" i="8" s="1"/>
  <c r="AB45" i="4"/>
  <c r="AF37" i="8" s="1"/>
  <c r="Z45" i="4"/>
  <c r="FB48" i="4"/>
  <c r="FD48" i="4"/>
  <c r="FE48" i="4" s="1"/>
  <c r="FH48" i="4"/>
  <c r="FI48" i="4" s="1"/>
  <c r="FF48" i="4"/>
  <c r="FG48" i="4" s="1"/>
  <c r="AD48" i="4"/>
  <c r="AH40" i="8" s="1"/>
  <c r="AB48" i="4"/>
  <c r="AF40" i="8" s="1"/>
  <c r="Z48" i="4"/>
  <c r="FU46" i="4"/>
  <c r="FV46" i="4" s="1"/>
  <c r="FB56" i="4"/>
  <c r="FD56" i="4"/>
  <c r="FE56" i="4" s="1"/>
  <c r="FF56" i="4"/>
  <c r="FG56" i="4" s="1"/>
  <c r="FH56" i="4"/>
  <c r="FI56" i="4" s="1"/>
  <c r="AD56" i="4"/>
  <c r="AH48" i="8" s="1"/>
  <c r="AB56" i="4"/>
  <c r="AF48" i="8" s="1"/>
  <c r="Z56" i="4"/>
  <c r="FB44" i="4"/>
  <c r="FD44" i="4"/>
  <c r="FE44" i="4" s="1"/>
  <c r="FF44" i="4"/>
  <c r="FG44" i="4" s="1"/>
  <c r="FH44" i="4"/>
  <c r="FI44" i="4" s="1"/>
  <c r="AD44" i="4"/>
  <c r="AH36" i="8" s="1"/>
  <c r="AB44" i="4"/>
  <c r="AF36" i="8" s="1"/>
  <c r="Z44" i="4"/>
  <c r="FQ29" i="4"/>
  <c r="GV29" i="4" s="1"/>
  <c r="CG14" i="4"/>
  <c r="CI14" i="4"/>
  <c r="CC23" i="4"/>
  <c r="BY23" i="4"/>
  <c r="BW23" i="4"/>
  <c r="BV23" i="4"/>
  <c r="BX23" i="4"/>
  <c r="CI23" i="4"/>
  <c r="CC28" i="4"/>
  <c r="BY28" i="4"/>
  <c r="BW28" i="4"/>
  <c r="BV28" i="4"/>
  <c r="BX28" i="4"/>
  <c r="CI28" i="4"/>
  <c r="CC48" i="4"/>
  <c r="BY48" i="4"/>
  <c r="BW48" i="4"/>
  <c r="BV48" i="4"/>
  <c r="BX48" i="4"/>
  <c r="CI48" i="4"/>
  <c r="CG48" i="4"/>
  <c r="CF48" i="4"/>
  <c r="CD48" i="4"/>
  <c r="CC54" i="4"/>
  <c r="BY54" i="4"/>
  <c r="BW54" i="4"/>
  <c r="BV54" i="4"/>
  <c r="BX54" i="4"/>
  <c r="CI54" i="4"/>
  <c r="CF54" i="4"/>
  <c r="CG54" i="4"/>
  <c r="CD54" i="4"/>
  <c r="CC31" i="4"/>
  <c r="BY31" i="4"/>
  <c r="BW31" i="4"/>
  <c r="BV31" i="4"/>
  <c r="BX31" i="4"/>
  <c r="CG31" i="4"/>
  <c r="CD31" i="4"/>
  <c r="CI31" i="4"/>
  <c r="CF31" i="4"/>
  <c r="CC15" i="4"/>
  <c r="BX15" i="4"/>
  <c r="BV15" i="4"/>
  <c r="BY15" i="4"/>
  <c r="BW15" i="4"/>
  <c r="CD15" i="4"/>
  <c r="CF15" i="4"/>
  <c r="CG15" i="4"/>
  <c r="CC19" i="4"/>
  <c r="BY19" i="4"/>
  <c r="BV19" i="4"/>
  <c r="BW19" i="4"/>
  <c r="BX19" i="4"/>
  <c r="CI19" i="4"/>
  <c r="CF19" i="4"/>
  <c r="CG19" i="4"/>
  <c r="CD19" i="4"/>
  <c r="CC27" i="4"/>
  <c r="BY27" i="4"/>
  <c r="BW27" i="4"/>
  <c r="BV27" i="4"/>
  <c r="BX27" i="4"/>
  <c r="CF27" i="4"/>
  <c r="CG27" i="4"/>
  <c r="CD27" i="4"/>
  <c r="CI27" i="4"/>
  <c r="CC38" i="4"/>
  <c r="BY38" i="4"/>
  <c r="BV38" i="4"/>
  <c r="BW38" i="4"/>
  <c r="BX38" i="4"/>
  <c r="CI38" i="4"/>
  <c r="CG38" i="4"/>
  <c r="CF38" i="4"/>
  <c r="CD38" i="4"/>
  <c r="CC43" i="4"/>
  <c r="BY43" i="4"/>
  <c r="BW43" i="4"/>
  <c r="BV43" i="4"/>
  <c r="BX43" i="4"/>
  <c r="CG43" i="4"/>
  <c r="CD43" i="4"/>
  <c r="CI43" i="4"/>
  <c r="CF43" i="4"/>
  <c r="CC16" i="4"/>
  <c r="BX16" i="4"/>
  <c r="BV16" i="4"/>
  <c r="BW16" i="4"/>
  <c r="CF16" i="4"/>
  <c r="CD16" i="4"/>
  <c r="CG16" i="4"/>
  <c r="BY16" i="4"/>
  <c r="CC14" i="4"/>
  <c r="BW14" i="4"/>
  <c r="BY14" i="4"/>
  <c r="BX14" i="4"/>
  <c r="BV14" i="4"/>
  <c r="CC25" i="4"/>
  <c r="BY25" i="4"/>
  <c r="BW25" i="4"/>
  <c r="BV25" i="4"/>
  <c r="BX25" i="4"/>
  <c r="CI25" i="4"/>
  <c r="CG25" i="4"/>
  <c r="CF25" i="4"/>
  <c r="CD25" i="4"/>
  <c r="CC20" i="4"/>
  <c r="BY20" i="4"/>
  <c r="BW20" i="4"/>
  <c r="BV20" i="4"/>
  <c r="BX20" i="4"/>
  <c r="CG20" i="4"/>
  <c r="CD20" i="4"/>
  <c r="CI20" i="4"/>
  <c r="CF20" i="4"/>
  <c r="CC50" i="4"/>
  <c r="BY50" i="4"/>
  <c r="BW50" i="4"/>
  <c r="BV50" i="4"/>
  <c r="BX50" i="4"/>
  <c r="CI50" i="4"/>
  <c r="CF50" i="4"/>
  <c r="CG50" i="4"/>
  <c r="CD50" i="4"/>
  <c r="CC40" i="4"/>
  <c r="BY40" i="4"/>
  <c r="BW40" i="4"/>
  <c r="BV40" i="4"/>
  <c r="BX40" i="4"/>
  <c r="CI40" i="4"/>
  <c r="CF40" i="4"/>
  <c r="CG40" i="4"/>
  <c r="CD40" i="4"/>
  <c r="FD18" i="4"/>
  <c r="FE18" i="4" s="1"/>
  <c r="Z18" i="4"/>
  <c r="AD10" i="8" s="1"/>
  <c r="AB18" i="4"/>
  <c r="AF10" i="8" s="1"/>
  <c r="FD23" i="4"/>
  <c r="FE23" i="4" s="1"/>
  <c r="FD25" i="4"/>
  <c r="FE25" i="4" s="1"/>
  <c r="FF18" i="4"/>
  <c r="FG18" i="4" s="1"/>
  <c r="Z25" i="4"/>
  <c r="AD17" i="8" s="1"/>
  <c r="FB39" i="4"/>
  <c r="FU20" i="4"/>
  <c r="FV20" i="4" s="1"/>
  <c r="FV21" i="4" s="1"/>
  <c r="FP28" i="4" s="1"/>
  <c r="FQ28" i="4" s="1"/>
  <c r="FU34" i="4"/>
  <c r="FV34" i="4" s="1"/>
  <c r="Z23" i="4"/>
  <c r="AD15" i="8" s="1"/>
  <c r="Z39" i="4"/>
  <c r="AD31" i="8" s="1"/>
  <c r="FU30" i="4"/>
  <c r="FU24" i="4"/>
  <c r="FV24" i="4" s="1"/>
  <c r="FV25" i="4" s="1"/>
  <c r="FP25" i="4" s="1"/>
  <c r="FU18" i="4"/>
  <c r="FV18" i="4" s="1"/>
  <c r="FP18" i="4" s="1"/>
  <c r="FH20" i="4"/>
  <c r="FI20" i="4" s="1"/>
  <c r="AD20" i="4"/>
  <c r="AH12" i="8" s="1"/>
  <c r="AD18" i="8"/>
  <c r="GC26" i="4"/>
  <c r="GI26" i="4"/>
  <c r="GQ26" i="4"/>
  <c r="DJ26" i="4" s="1"/>
  <c r="FB33" i="4"/>
  <c r="FH33" i="4"/>
  <c r="FI33" i="4" s="1"/>
  <c r="FD33" i="4"/>
  <c r="FE33" i="4" s="1"/>
  <c r="FF33" i="4"/>
  <c r="FG33" i="4" s="1"/>
  <c r="AB33" i="4"/>
  <c r="AF25" i="8" s="1"/>
  <c r="AD33" i="4"/>
  <c r="AH25" i="8" s="1"/>
  <c r="Z33" i="4"/>
  <c r="FB30" i="4"/>
  <c r="FD30" i="4"/>
  <c r="FE30" i="4" s="1"/>
  <c r="FF30" i="4"/>
  <c r="FG30" i="4" s="1"/>
  <c r="FH30" i="4"/>
  <c r="FI30" i="4" s="1"/>
  <c r="AB30" i="4"/>
  <c r="AF22" i="8" s="1"/>
  <c r="AD30" i="4"/>
  <c r="AH22" i="8" s="1"/>
  <c r="Z30" i="4"/>
  <c r="FB32" i="4"/>
  <c r="FD32" i="4"/>
  <c r="FE32" i="4" s="1"/>
  <c r="FF32" i="4"/>
  <c r="FG32" i="4" s="1"/>
  <c r="FH32" i="4"/>
  <c r="FI32" i="4" s="1"/>
  <c r="AD32" i="4"/>
  <c r="AH24" i="8" s="1"/>
  <c r="AB32" i="4"/>
  <c r="AF24" i="8" s="1"/>
  <c r="Z32" i="4"/>
  <c r="FV23" i="4"/>
  <c r="FP23" i="4" s="1"/>
  <c r="FV27" i="4"/>
  <c r="FP27" i="4" s="1"/>
  <c r="FH24" i="4"/>
  <c r="FI24" i="4" s="1"/>
  <c r="AD24" i="4"/>
  <c r="AH16" i="8" s="1"/>
  <c r="FH21" i="4"/>
  <c r="FI21" i="4" s="1"/>
  <c r="AD21" i="4"/>
  <c r="AH13" i="8" s="1"/>
  <c r="FB38" i="4"/>
  <c r="FD38" i="4"/>
  <c r="FE38" i="4" s="1"/>
  <c r="FF38" i="4"/>
  <c r="FG38" i="4" s="1"/>
  <c r="FH38" i="4"/>
  <c r="FI38" i="4" s="1"/>
  <c r="AB38" i="4"/>
  <c r="AF30" i="8" s="1"/>
  <c r="AD38" i="4"/>
  <c r="AH30" i="8" s="1"/>
  <c r="Z38" i="4"/>
  <c r="FB31" i="4"/>
  <c r="FH31" i="4"/>
  <c r="FI31" i="4" s="1"/>
  <c r="FD31" i="4"/>
  <c r="FE31" i="4" s="1"/>
  <c r="FF31" i="4"/>
  <c r="FG31" i="4" s="1"/>
  <c r="AD31" i="4"/>
  <c r="AH23" i="8" s="1"/>
  <c r="AB31" i="4"/>
  <c r="AF23" i="8" s="1"/>
  <c r="Z31" i="4"/>
  <c r="FN15" i="4"/>
  <c r="FN74" i="4"/>
  <c r="L24" i="3" s="1"/>
  <c r="FN77" i="4"/>
  <c r="U24" i="3" s="1"/>
  <c r="FN75" i="4"/>
  <c r="O24" i="3" s="1"/>
  <c r="FN76" i="4"/>
  <c r="R24" i="3" s="1"/>
  <c r="FN73" i="4"/>
  <c r="F24" i="3" s="1"/>
  <c r="AD20" i="8"/>
  <c r="GI28" i="4"/>
  <c r="GQ28" i="4"/>
  <c r="DJ28" i="4" s="1"/>
  <c r="GC28" i="4"/>
  <c r="FH19" i="4"/>
  <c r="FI19" i="4" s="1"/>
  <c r="AD19" i="4"/>
  <c r="AH11" i="8" s="1"/>
  <c r="FF39" i="4"/>
  <c r="FG39" i="4" s="1"/>
  <c r="FH39" i="4"/>
  <c r="FI39" i="4" s="1"/>
  <c r="AD39" i="4"/>
  <c r="AH31" i="8" s="1"/>
  <c r="AB39" i="4"/>
  <c r="AF31" i="8" s="1"/>
  <c r="FB34" i="4"/>
  <c r="FD34" i="4"/>
  <c r="FE34" i="4" s="1"/>
  <c r="FF34" i="4"/>
  <c r="FG34" i="4" s="1"/>
  <c r="FH34" i="4"/>
  <c r="FI34" i="4" s="1"/>
  <c r="AB34" i="4"/>
  <c r="AF26" i="8" s="1"/>
  <c r="AD34" i="4"/>
  <c r="AH26" i="8" s="1"/>
  <c r="Z34" i="4"/>
  <c r="AD18" i="4"/>
  <c r="AH10" i="8" s="1"/>
  <c r="FH18" i="4"/>
  <c r="FI18" i="4" s="1"/>
  <c r="FH23" i="4"/>
  <c r="FI23" i="4" s="1"/>
  <c r="AD23" i="4"/>
  <c r="AH15" i="8" s="1"/>
  <c r="FB35" i="4"/>
  <c r="FH35" i="4"/>
  <c r="FI35" i="4" s="1"/>
  <c r="FD35" i="4"/>
  <c r="FE35" i="4" s="1"/>
  <c r="FF35" i="4"/>
  <c r="FG35" i="4" s="1"/>
  <c r="AD35" i="4"/>
  <c r="AH27" i="8" s="1"/>
  <c r="AB35" i="4"/>
  <c r="AF27" i="8" s="1"/>
  <c r="Z35" i="4"/>
  <c r="FV15" i="4"/>
  <c r="FP22" i="4" s="1"/>
  <c r="FP14" i="4"/>
  <c r="FL15" i="4"/>
  <c r="FL74" i="4"/>
  <c r="L23" i="3" s="1"/>
  <c r="FL73" i="4"/>
  <c r="F23" i="3" s="1"/>
  <c r="FL77" i="4"/>
  <c r="U23" i="3" s="1"/>
  <c r="FL75" i="4"/>
  <c r="O23" i="3" s="1"/>
  <c r="FL76" i="4"/>
  <c r="R23" i="3" s="1"/>
  <c r="FU32" i="4"/>
  <c r="FV32" i="4" s="1"/>
  <c r="FI12" i="4"/>
  <c r="AD19" i="8"/>
  <c r="GI27" i="4"/>
  <c r="GC27" i="4"/>
  <c r="GQ27" i="4"/>
  <c r="DJ27" i="4" s="1"/>
  <c r="AD25" i="4"/>
  <c r="AH17" i="8" s="1"/>
  <c r="AB25" i="4"/>
  <c r="AF17" i="8" s="1"/>
  <c r="FF25" i="4"/>
  <c r="FG25" i="4" s="1"/>
  <c r="FH25" i="4"/>
  <c r="FI25" i="4" s="1"/>
  <c r="FU38" i="4"/>
  <c r="FV38" i="4" s="1"/>
  <c r="FH15" i="4"/>
  <c r="FI15" i="4" s="1"/>
  <c r="AD15" i="4"/>
  <c r="AH7" i="8" s="1"/>
  <c r="FB36" i="4"/>
  <c r="FD36" i="4"/>
  <c r="FE36" i="4" s="1"/>
  <c r="FF36" i="4"/>
  <c r="FG36" i="4" s="1"/>
  <c r="FH36" i="4"/>
  <c r="FI36" i="4" s="1"/>
  <c r="AD36" i="4"/>
  <c r="AH28" i="8" s="1"/>
  <c r="AB36" i="4"/>
  <c r="AF28" i="8" s="1"/>
  <c r="Z36" i="4"/>
  <c r="FG12" i="4"/>
  <c r="DG73" i="4"/>
  <c r="F13" i="3" s="1"/>
  <c r="DG75" i="4"/>
  <c r="O13" i="3" s="1"/>
  <c r="DG77" i="4"/>
  <c r="DG74" i="4"/>
  <c r="L13" i="3" s="1"/>
  <c r="DG76" i="4"/>
  <c r="R13" i="3" s="1"/>
  <c r="AF4" i="8"/>
  <c r="GQ12" i="4"/>
  <c r="DJ12" i="4" s="1"/>
  <c r="GI12" i="4"/>
  <c r="GC12" i="4"/>
  <c r="CQ14" i="4"/>
  <c r="CQ75" i="4"/>
  <c r="O8" i="3" s="1"/>
  <c r="CQ73" i="4"/>
  <c r="I8" i="3" s="1"/>
  <c r="CQ77" i="4"/>
  <c r="CQ72" i="4"/>
  <c r="F8" i="3" s="1"/>
  <c r="CQ74" i="4"/>
  <c r="L8" i="3" s="1"/>
  <c r="CQ76" i="4"/>
  <c r="R8" i="3" s="1"/>
  <c r="AB20" i="4"/>
  <c r="AF12" i="8" s="1"/>
  <c r="FF20" i="4"/>
  <c r="FG20" i="4" s="1"/>
  <c r="AB19" i="4"/>
  <c r="AF11" i="8" s="1"/>
  <c r="FF19" i="4"/>
  <c r="FG19" i="4" s="1"/>
  <c r="CE23" i="4"/>
  <c r="CF23" i="4"/>
  <c r="CD23" i="4"/>
  <c r="CG23" i="4"/>
  <c r="F6" i="8"/>
  <c r="B15" i="4"/>
  <c r="FU12" i="4"/>
  <c r="FV12" i="4" s="1"/>
  <c r="CE28" i="4"/>
  <c r="CF28" i="4"/>
  <c r="CD28" i="4"/>
  <c r="CG28" i="4"/>
  <c r="FB20" i="4"/>
  <c r="Z20" i="4"/>
  <c r="FD20" i="4"/>
  <c r="FE20" i="4" s="1"/>
  <c r="AD7" i="8"/>
  <c r="CI16" i="4"/>
  <c r="FB19" i="4"/>
  <c r="FD19" i="4"/>
  <c r="FE19" i="4" s="1"/>
  <c r="Z19" i="4"/>
  <c r="FE16" i="4"/>
  <c r="DG15" i="4"/>
  <c r="DA16" i="4"/>
  <c r="AD13" i="8"/>
  <c r="CY75" i="4"/>
  <c r="O12" i="3" s="1"/>
  <c r="CY76" i="4"/>
  <c r="R12" i="3" s="1"/>
  <c r="CY73" i="4"/>
  <c r="F12" i="3" s="1"/>
  <c r="CY77" i="4"/>
  <c r="CY14" i="4"/>
  <c r="CY74" i="4"/>
  <c r="L12" i="3" s="1"/>
  <c r="CW14" i="4"/>
  <c r="CW73" i="4"/>
  <c r="F11" i="3" s="1"/>
  <c r="CW76" i="4"/>
  <c r="R11" i="3" s="1"/>
  <c r="CW77" i="4"/>
  <c r="CW74" i="4"/>
  <c r="L11" i="3" s="1"/>
  <c r="CW75" i="4"/>
  <c r="O11" i="3" s="1"/>
  <c r="AD8" i="8"/>
  <c r="GI16" i="4"/>
  <c r="GQ16" i="4"/>
  <c r="DJ16" i="4" s="1"/>
  <c r="GC16" i="4"/>
  <c r="FG15" i="4"/>
  <c r="AH6" i="8"/>
  <c r="GC14" i="4"/>
  <c r="GI14" i="4"/>
  <c r="GQ14" i="4"/>
  <c r="DJ14" i="4" s="1"/>
  <c r="CU14" i="4"/>
  <c r="CU74" i="4"/>
  <c r="L10" i="3" s="1"/>
  <c r="CU73" i="4"/>
  <c r="F10" i="3" s="1"/>
  <c r="CU75" i="4"/>
  <c r="O10" i="3" s="1"/>
  <c r="CU76" i="4"/>
  <c r="R10" i="3" s="1"/>
  <c r="CU77" i="4"/>
  <c r="FE15" i="4"/>
  <c r="DT64" i="4" l="1"/>
  <c r="DU64" i="4" s="1"/>
  <c r="DT66" i="4"/>
  <c r="DU66" i="4" s="1"/>
  <c r="DT58" i="4"/>
  <c r="DU58" i="4" s="1"/>
  <c r="DT68" i="4"/>
  <c r="DU68" i="4" s="1"/>
  <c r="FP41" i="4"/>
  <c r="FV55" i="4"/>
  <c r="FP61" i="4"/>
  <c r="FQ61" i="4" s="1"/>
  <c r="GV61" i="4" s="1"/>
  <c r="EI33" i="4"/>
  <c r="EB33" i="4" s="1"/>
  <c r="BA33" i="4" s="1"/>
  <c r="FP15" i="4"/>
  <c r="FQ15" i="4" s="1"/>
  <c r="DT18" i="4"/>
  <c r="EB29" i="4"/>
  <c r="BA29" i="4" s="1"/>
  <c r="EB19" i="4"/>
  <c r="BA19" i="4" s="1"/>
  <c r="DT20" i="4"/>
  <c r="EC30" i="4"/>
  <c r="EB20" i="4"/>
  <c r="BA20" i="4" s="1"/>
  <c r="EC26" i="4"/>
  <c r="EB16" i="4"/>
  <c r="BA16" i="4" s="1"/>
  <c r="EC28" i="4"/>
  <c r="EB18" i="4"/>
  <c r="BA18" i="4" s="1"/>
  <c r="DT16" i="4"/>
  <c r="FP17" i="4"/>
  <c r="FQ17" i="4" s="1"/>
  <c r="GV17" i="4" s="1"/>
  <c r="EC36" i="4"/>
  <c r="EC54" i="4"/>
  <c r="EI31" i="4"/>
  <c r="EI27" i="4"/>
  <c r="EC40" i="4"/>
  <c r="EH73" i="4"/>
  <c r="F38" i="3" s="1"/>
  <c r="EC56" i="4"/>
  <c r="EH74" i="4"/>
  <c r="L38" i="3" s="1"/>
  <c r="DZ41" i="4"/>
  <c r="DY73" i="4"/>
  <c r="F37" i="3" s="1"/>
  <c r="DT56" i="4"/>
  <c r="DU56" i="4" s="1"/>
  <c r="DT54" i="4"/>
  <c r="DU54" i="4" s="1"/>
  <c r="DZ55" i="4"/>
  <c r="DT40" i="4"/>
  <c r="DU40" i="4" s="1"/>
  <c r="EI25" i="4"/>
  <c r="EB24" i="4"/>
  <c r="BA24" i="4" s="1"/>
  <c r="DZ57" i="4"/>
  <c r="DY74" i="4"/>
  <c r="L37" i="3" s="1"/>
  <c r="DZ45" i="4"/>
  <c r="DT44" i="4"/>
  <c r="DU44" i="4" s="1"/>
  <c r="EC44" i="4"/>
  <c r="EC47" i="4"/>
  <c r="DZ47" i="4"/>
  <c r="DZ21" i="4"/>
  <c r="EC21" i="4"/>
  <c r="DZ34" i="4"/>
  <c r="EC34" i="4"/>
  <c r="EC29" i="4"/>
  <c r="DT28" i="4"/>
  <c r="DU28" i="4" s="1"/>
  <c r="DZ29" i="4"/>
  <c r="DT41" i="4" s="1"/>
  <c r="DU41" i="4" s="1"/>
  <c r="DZ42" i="4"/>
  <c r="EC42" i="4"/>
  <c r="DT52" i="4"/>
  <c r="DU52" i="4" s="1"/>
  <c r="EC53" i="4"/>
  <c r="DZ53" i="4"/>
  <c r="DZ33" i="4"/>
  <c r="DT32" i="4"/>
  <c r="DU32" i="4" s="1"/>
  <c r="DT26" i="4"/>
  <c r="DU26" i="4" s="1"/>
  <c r="EC37" i="4"/>
  <c r="DZ37" i="4"/>
  <c r="DZ24" i="4"/>
  <c r="DT36" i="4" s="1"/>
  <c r="DU36" i="4" s="1"/>
  <c r="EC24" i="4"/>
  <c r="DZ48" i="4"/>
  <c r="EC48" i="4"/>
  <c r="EC57" i="4"/>
  <c r="DZ31" i="4"/>
  <c r="DT30" i="4"/>
  <c r="DU30" i="4" s="1"/>
  <c r="DZ50" i="4"/>
  <c r="EC50" i="4"/>
  <c r="DZ27" i="4"/>
  <c r="EC55" i="4"/>
  <c r="DZ38" i="4"/>
  <c r="EC38" i="4"/>
  <c r="EC41" i="4"/>
  <c r="EC45" i="4"/>
  <c r="GE72" i="4"/>
  <c r="FQ14" i="4"/>
  <c r="FQ18" i="4"/>
  <c r="CL30" i="4"/>
  <c r="FV19" i="4"/>
  <c r="FP26" i="4" s="1"/>
  <c r="FQ26" i="4" s="1"/>
  <c r="GV26" i="4" s="1"/>
  <c r="DN73" i="4"/>
  <c r="DN78" i="4"/>
  <c r="L32" i="3" s="1"/>
  <c r="DN75" i="4"/>
  <c r="F32" i="3" s="1"/>
  <c r="DN77" i="4"/>
  <c r="GC23" i="4"/>
  <c r="GQ15" i="4"/>
  <c r="DJ15" i="4" s="1"/>
  <c r="GC18" i="4"/>
  <c r="GQ24" i="4"/>
  <c r="DJ24" i="4" s="1"/>
  <c r="GV28" i="4"/>
  <c r="DN74" i="4"/>
  <c r="F31" i="3" s="1"/>
  <c r="DN76" i="4"/>
  <c r="L31" i="3" s="1"/>
  <c r="DP75" i="4"/>
  <c r="DP76" i="4"/>
  <c r="DP78" i="4"/>
  <c r="DP74" i="4"/>
  <c r="DP73" i="4"/>
  <c r="DP77" i="4"/>
  <c r="DL78" i="4"/>
  <c r="L30" i="3" s="1"/>
  <c r="DL74" i="4"/>
  <c r="F29" i="3" s="1"/>
  <c r="DL75" i="4"/>
  <c r="F30" i="3" s="1"/>
  <c r="DL76" i="4"/>
  <c r="L29" i="3" s="1"/>
  <c r="DL73" i="4"/>
  <c r="DL77" i="4"/>
  <c r="FV33" i="4"/>
  <c r="FP32" i="4"/>
  <c r="GQ44" i="4"/>
  <c r="DJ44" i="4" s="1"/>
  <c r="AD36" i="8"/>
  <c r="GI44" i="4"/>
  <c r="GC44" i="4"/>
  <c r="GI50" i="4"/>
  <c r="AD42" i="8"/>
  <c r="GQ50" i="4"/>
  <c r="DJ50" i="4" s="1"/>
  <c r="GC50" i="4"/>
  <c r="FV45" i="4"/>
  <c r="FP45" i="4" s="1"/>
  <c r="FP44" i="4"/>
  <c r="AD46" i="8"/>
  <c r="GI54" i="4"/>
  <c r="GQ54" i="4"/>
  <c r="DJ54" i="4" s="1"/>
  <c r="GC54" i="4"/>
  <c r="GQ46" i="4"/>
  <c r="DJ46" i="4" s="1"/>
  <c r="GI46" i="4"/>
  <c r="AD38" i="8"/>
  <c r="GC46" i="4"/>
  <c r="FQ43" i="4"/>
  <c r="GQ53" i="4"/>
  <c r="DJ53" i="4" s="1"/>
  <c r="AD45" i="8"/>
  <c r="GI53" i="4"/>
  <c r="GC53" i="4"/>
  <c r="FV57" i="4"/>
  <c r="FV51" i="4"/>
  <c r="FP50" i="4"/>
  <c r="GQ57" i="4"/>
  <c r="DJ57" i="4" s="1"/>
  <c r="GI57" i="4"/>
  <c r="AD49" i="8"/>
  <c r="GC57" i="4"/>
  <c r="FQ41" i="4"/>
  <c r="GV41" i="4" s="1"/>
  <c r="AD43" i="8"/>
  <c r="GI51" i="4"/>
  <c r="GQ51" i="4"/>
  <c r="DJ51" i="4" s="1"/>
  <c r="GC51" i="4"/>
  <c r="FV39" i="4"/>
  <c r="FP39" i="4" s="1"/>
  <c r="FV35" i="4"/>
  <c r="FP34" i="4"/>
  <c r="FV47" i="4"/>
  <c r="FP46" i="4"/>
  <c r="GQ45" i="4"/>
  <c r="DJ45" i="4" s="1"/>
  <c r="GI45" i="4"/>
  <c r="AD37" i="8"/>
  <c r="GC45" i="4"/>
  <c r="FV49" i="4"/>
  <c r="FP49" i="4" s="1"/>
  <c r="FP48" i="4"/>
  <c r="GQ40" i="4"/>
  <c r="DJ40" i="4" s="1"/>
  <c r="AD32" i="8"/>
  <c r="GI40" i="4"/>
  <c r="GC40" i="4"/>
  <c r="GI43" i="4"/>
  <c r="GQ43" i="4"/>
  <c r="DJ43" i="4" s="1"/>
  <c r="AD35" i="8"/>
  <c r="GC43" i="4"/>
  <c r="GQ49" i="4"/>
  <c r="DJ49" i="4" s="1"/>
  <c r="AD41" i="8"/>
  <c r="GI49" i="4"/>
  <c r="GC49" i="4"/>
  <c r="FQ36" i="4"/>
  <c r="FV30" i="4"/>
  <c r="FV31" i="4" s="1"/>
  <c r="FP31" i="4" s="1"/>
  <c r="GQ56" i="4"/>
  <c r="DJ56" i="4" s="1"/>
  <c r="GI56" i="4"/>
  <c r="AD48" i="8"/>
  <c r="GC56" i="4"/>
  <c r="GQ48" i="4"/>
  <c r="DJ48" i="4" s="1"/>
  <c r="AD40" i="8"/>
  <c r="GI48" i="4"/>
  <c r="GC48" i="4"/>
  <c r="GI52" i="4"/>
  <c r="GQ52" i="4"/>
  <c r="DJ52" i="4" s="1"/>
  <c r="AD44" i="8"/>
  <c r="GC52" i="4"/>
  <c r="FV53" i="4"/>
  <c r="FP52" i="4"/>
  <c r="GI47" i="4"/>
  <c r="AD39" i="8"/>
  <c r="GQ47" i="4"/>
  <c r="DJ47" i="4" s="1"/>
  <c r="GC47" i="4"/>
  <c r="FQ23" i="4"/>
  <c r="FQ27" i="4"/>
  <c r="GV27" i="4" s="1"/>
  <c r="FQ25" i="4"/>
  <c r="FQ22" i="4"/>
  <c r="GV22" i="4" s="1"/>
  <c r="CL33" i="4"/>
  <c r="GI18" i="4"/>
  <c r="CD113" i="4"/>
  <c r="L78" i="3" s="1"/>
  <c r="GQ21" i="4"/>
  <c r="DJ21" i="4" s="1"/>
  <c r="GC21" i="4"/>
  <c r="GI21" i="4"/>
  <c r="BV75" i="4"/>
  <c r="I59" i="3" s="1"/>
  <c r="BV83" i="4"/>
  <c r="U59" i="3" s="1"/>
  <c r="BV81" i="4"/>
  <c r="R59" i="3" s="1"/>
  <c r="BV79" i="4"/>
  <c r="O59" i="3" s="1"/>
  <c r="BV77" i="4"/>
  <c r="L59" i="3" s="1"/>
  <c r="BV73" i="4"/>
  <c r="F59" i="3" s="1"/>
  <c r="BX83" i="4"/>
  <c r="U61" i="3" s="1"/>
  <c r="BX81" i="4"/>
  <c r="R61" i="3" s="1"/>
  <c r="BX77" i="4"/>
  <c r="L61" i="3" s="1"/>
  <c r="BX75" i="4"/>
  <c r="I61" i="3" s="1"/>
  <c r="BX79" i="4"/>
  <c r="O61" i="3" s="1"/>
  <c r="BX73" i="4"/>
  <c r="F61" i="3" s="1"/>
  <c r="BY83" i="4"/>
  <c r="U62" i="3" s="1"/>
  <c r="BY73" i="4"/>
  <c r="F62" i="3" s="1"/>
  <c r="BY79" i="4"/>
  <c r="O62" i="3" s="1"/>
  <c r="BY77" i="4"/>
  <c r="L62" i="3" s="1"/>
  <c r="BY75" i="4"/>
  <c r="I62" i="3" s="1"/>
  <c r="BY81" i="4"/>
  <c r="R62" i="3" s="1"/>
  <c r="BW73" i="4"/>
  <c r="F60" i="3" s="1"/>
  <c r="BW77" i="4"/>
  <c r="L60" i="3" s="1"/>
  <c r="BW79" i="4"/>
  <c r="O60" i="3" s="1"/>
  <c r="BW81" i="4"/>
  <c r="R60" i="3" s="1"/>
  <c r="BW75" i="4"/>
  <c r="I60" i="3" s="1"/>
  <c r="BW83" i="4"/>
  <c r="U60" i="3" s="1"/>
  <c r="CF89" i="4"/>
  <c r="L81" i="3" s="1"/>
  <c r="GQ18" i="4"/>
  <c r="GI24" i="4"/>
  <c r="FP24" i="4"/>
  <c r="GC24" i="4"/>
  <c r="CG113" i="4"/>
  <c r="L86" i="3" s="1"/>
  <c r="CL31" i="4"/>
  <c r="GI15" i="4"/>
  <c r="CL67" i="4"/>
  <c r="CL58" i="4"/>
  <c r="GC15" i="4"/>
  <c r="X23" i="3"/>
  <c r="N116" i="3" s="1"/>
  <c r="P116" i="3" s="1"/>
  <c r="FI77" i="4"/>
  <c r="U21" i="3" s="1"/>
  <c r="GI34" i="4"/>
  <c r="GQ34" i="4"/>
  <c r="DJ34" i="4" s="1"/>
  <c r="AD26" i="8"/>
  <c r="GC34" i="4"/>
  <c r="GQ23" i="4"/>
  <c r="DJ23" i="4" s="1"/>
  <c r="GC25" i="4"/>
  <c r="GI39" i="4"/>
  <c r="FI80" i="4"/>
  <c r="O22" i="3" s="1"/>
  <c r="FI79" i="4"/>
  <c r="L22" i="3" s="1"/>
  <c r="FI74" i="4"/>
  <c r="L21" i="3" s="1"/>
  <c r="AD27" i="8"/>
  <c r="GI35" i="4"/>
  <c r="GQ35" i="4"/>
  <c r="DJ35" i="4" s="1"/>
  <c r="GC35" i="4"/>
  <c r="X24" i="3"/>
  <c r="N117" i="3" s="1"/>
  <c r="P117" i="3" s="1"/>
  <c r="GI31" i="4"/>
  <c r="AD23" i="8"/>
  <c r="GQ31" i="4"/>
  <c r="DJ31" i="4" s="1"/>
  <c r="GC31" i="4"/>
  <c r="GQ30" i="4"/>
  <c r="DJ30" i="4" s="1"/>
  <c r="GI30" i="4"/>
  <c r="AD22" i="8"/>
  <c r="GC30" i="4"/>
  <c r="GI23" i="4"/>
  <c r="GQ25" i="4"/>
  <c r="DJ25" i="4" s="1"/>
  <c r="GC39" i="4"/>
  <c r="FI76" i="4"/>
  <c r="R21" i="3" s="1"/>
  <c r="FI73" i="4"/>
  <c r="F21" i="3" s="1"/>
  <c r="FI81" i="4"/>
  <c r="R22" i="3" s="1"/>
  <c r="GI32" i="4"/>
  <c r="AD24" i="8"/>
  <c r="GQ32" i="4"/>
  <c r="DJ32" i="4" s="1"/>
  <c r="GC32" i="4"/>
  <c r="GI25" i="4"/>
  <c r="GQ39" i="4"/>
  <c r="DJ39" i="4" s="1"/>
  <c r="GQ36" i="4"/>
  <c r="DJ36" i="4" s="1"/>
  <c r="GI36" i="4"/>
  <c r="AD28" i="8"/>
  <c r="GC36" i="4"/>
  <c r="FI78" i="4"/>
  <c r="F22" i="3" s="1"/>
  <c r="FI75" i="4"/>
  <c r="O21" i="3" s="1"/>
  <c r="AD30" i="8"/>
  <c r="GQ38" i="4"/>
  <c r="DJ38" i="4" s="1"/>
  <c r="GI38" i="4"/>
  <c r="GC38" i="4"/>
  <c r="GI33" i="4"/>
  <c r="AD25" i="8"/>
  <c r="GQ33" i="4"/>
  <c r="DJ33" i="4" s="1"/>
  <c r="GC33" i="4"/>
  <c r="FG79" i="4"/>
  <c r="L20" i="3" s="1"/>
  <c r="FG75" i="4"/>
  <c r="O19" i="3" s="1"/>
  <c r="FG81" i="4"/>
  <c r="R20" i="3" s="1"/>
  <c r="FE81" i="4"/>
  <c r="R18" i="3" s="1"/>
  <c r="U8" i="3"/>
  <c r="U10" i="3"/>
  <c r="U13" i="3"/>
  <c r="U12" i="3"/>
  <c r="U11" i="3"/>
  <c r="DA23" i="4"/>
  <c r="DB23" i="4" s="1"/>
  <c r="DA15" i="4"/>
  <c r="DB15" i="4" s="1"/>
  <c r="GV16" i="4"/>
  <c r="CG105" i="4"/>
  <c r="R85" i="3" s="1"/>
  <c r="D118" i="3"/>
  <c r="F118" i="3" s="1"/>
  <c r="CF101" i="4"/>
  <c r="L82" i="3" s="1"/>
  <c r="GK12" i="4" a="1"/>
  <c r="GK12" i="4" s="1"/>
  <c r="H12" i="4" s="1"/>
  <c r="CG115" i="4"/>
  <c r="O86" i="3" s="1"/>
  <c r="CG99" i="4"/>
  <c r="I85" i="3" s="1"/>
  <c r="CF87" i="4"/>
  <c r="I81" i="3" s="1"/>
  <c r="D113" i="3"/>
  <c r="F113" i="3" s="1"/>
  <c r="FG77" i="4"/>
  <c r="U19" i="3" s="1"/>
  <c r="FG74" i="4"/>
  <c r="L19" i="3" s="1"/>
  <c r="FG73" i="4"/>
  <c r="F19" i="3" s="1"/>
  <c r="FG76" i="4"/>
  <c r="R19" i="3" s="1"/>
  <c r="FG80" i="4"/>
  <c r="O20" i="3" s="1"/>
  <c r="FG78" i="4"/>
  <c r="F20" i="3" s="1"/>
  <c r="CF93" i="4"/>
  <c r="R81" i="3" s="1"/>
  <c r="CF107" i="4"/>
  <c r="U82" i="3" s="1"/>
  <c r="CD119" i="4"/>
  <c r="U78" i="3" s="1"/>
  <c r="CE91" i="4"/>
  <c r="O79" i="3" s="1"/>
  <c r="CD95" i="4"/>
  <c r="U76" i="3" s="1"/>
  <c r="CE87" i="4"/>
  <c r="I79" i="3" s="1"/>
  <c r="CC101" i="4"/>
  <c r="L74" i="3" s="1"/>
  <c r="CD101" i="4"/>
  <c r="L77" i="3" s="1"/>
  <c r="CE89" i="4"/>
  <c r="L79" i="3" s="1"/>
  <c r="CD115" i="4"/>
  <c r="O78" i="3" s="1"/>
  <c r="CD89" i="4"/>
  <c r="L76" i="3" s="1"/>
  <c r="CD99" i="4"/>
  <c r="I77" i="3" s="1"/>
  <c r="CE115" i="4"/>
  <c r="O80" i="3" s="1"/>
  <c r="CE119" i="4"/>
  <c r="U80" i="3" s="1"/>
  <c r="CL68" i="4"/>
  <c r="CL62" i="4"/>
  <c r="CL64" i="4"/>
  <c r="CE117" i="4"/>
  <c r="R80" i="3" s="1"/>
  <c r="CE93" i="4"/>
  <c r="R79" i="3" s="1"/>
  <c r="CE111" i="4"/>
  <c r="I80" i="3" s="1"/>
  <c r="CL65" i="4"/>
  <c r="CL44" i="4"/>
  <c r="CL47" i="4"/>
  <c r="CE95" i="4"/>
  <c r="U79" i="3" s="1"/>
  <c r="CE113" i="4"/>
  <c r="L80" i="3" s="1"/>
  <c r="CL49" i="4"/>
  <c r="CL28" i="4"/>
  <c r="CL69" i="4"/>
  <c r="CL32" i="4"/>
  <c r="CD87" i="4"/>
  <c r="I76" i="3" s="1"/>
  <c r="CL43" i="4"/>
  <c r="CG87" i="4"/>
  <c r="I84" i="3" s="1"/>
  <c r="CG103" i="4"/>
  <c r="O85" i="3" s="1"/>
  <c r="CD93" i="4"/>
  <c r="R76" i="3" s="1"/>
  <c r="CD107" i="4"/>
  <c r="U77" i="3" s="1"/>
  <c r="CD117" i="4"/>
  <c r="R78" i="3" s="1"/>
  <c r="CD111" i="4"/>
  <c r="I78" i="3" s="1"/>
  <c r="CG89" i="4"/>
  <c r="L84" i="3" s="1"/>
  <c r="CG117" i="4"/>
  <c r="R86" i="3" s="1"/>
  <c r="CG101" i="4"/>
  <c r="L85" i="3" s="1"/>
  <c r="CG111" i="4"/>
  <c r="I86" i="3" s="1"/>
  <c r="CG95" i="4"/>
  <c r="U84" i="3" s="1"/>
  <c r="CG119" i="4"/>
  <c r="U86" i="3" s="1"/>
  <c r="CD103" i="4"/>
  <c r="O77" i="3" s="1"/>
  <c r="CD105" i="4"/>
  <c r="R77" i="3" s="1"/>
  <c r="CD91" i="4"/>
  <c r="O76" i="3" s="1"/>
  <c r="CG93" i="4"/>
  <c r="R84" i="3" s="1"/>
  <c r="CG91" i="4"/>
  <c r="O84" i="3" s="1"/>
  <c r="CG107" i="4"/>
  <c r="U85" i="3" s="1"/>
  <c r="FE77" i="4"/>
  <c r="U17" i="3" s="1"/>
  <c r="FE80" i="4"/>
  <c r="O18" i="3" s="1"/>
  <c r="FE73" i="4"/>
  <c r="I17" i="3" s="1"/>
  <c r="FE78" i="4"/>
  <c r="F18" i="3" s="1"/>
  <c r="FE76" i="4"/>
  <c r="R17" i="3" s="1"/>
  <c r="FE75" i="4"/>
  <c r="O17" i="3" s="1"/>
  <c r="B16" i="4"/>
  <c r="F7" i="8"/>
  <c r="CL42" i="4"/>
  <c r="CL71" i="4"/>
  <c r="CL45" i="4"/>
  <c r="CL29" i="4"/>
  <c r="CL70" i="4"/>
  <c r="CL18" i="4"/>
  <c r="CL48" i="4"/>
  <c r="CL41" i="4"/>
  <c r="CL15" i="4"/>
  <c r="CL52" i="4"/>
  <c r="CL27" i="4"/>
  <c r="CL20" i="4"/>
  <c r="CL17" i="4"/>
  <c r="CL38" i="4"/>
  <c r="CL22" i="4"/>
  <c r="CL13" i="4"/>
  <c r="CL54" i="4"/>
  <c r="CL51" i="4"/>
  <c r="CL57" i="4"/>
  <c r="CL50" i="4"/>
  <c r="CL16" i="4"/>
  <c r="CL53" i="4"/>
  <c r="CL36" i="4"/>
  <c r="CL21" i="4"/>
  <c r="CL26" i="4"/>
  <c r="CL55" i="4"/>
  <c r="CL39" i="4"/>
  <c r="CL23" i="4"/>
  <c r="CL60" i="4"/>
  <c r="CL66" i="4"/>
  <c r="CL12" i="4"/>
  <c r="CL25" i="4"/>
  <c r="CL46" i="4"/>
  <c r="CL37" i="4"/>
  <c r="CL14" i="4"/>
  <c r="CL59" i="4"/>
  <c r="CL56" i="4"/>
  <c r="CL40" i="4"/>
  <c r="CL24" i="4"/>
  <c r="CL61" i="4"/>
  <c r="CL35" i="4"/>
  <c r="CL19" i="4"/>
  <c r="CM18" i="4" s="1"/>
  <c r="CL34" i="4"/>
  <c r="CL63" i="4"/>
  <c r="FV73" i="4"/>
  <c r="F25" i="3" s="1"/>
  <c r="CF95" i="4"/>
  <c r="U81" i="3" s="1"/>
  <c r="CF113" i="4"/>
  <c r="L83" i="3" s="1"/>
  <c r="CF115" i="4"/>
  <c r="O83" i="3" s="1"/>
  <c r="CF99" i="4"/>
  <c r="I82" i="3" s="1"/>
  <c r="FV74" i="4"/>
  <c r="L25" i="3" s="1"/>
  <c r="CF117" i="4"/>
  <c r="R83" i="3" s="1"/>
  <c r="CF103" i="4"/>
  <c r="O82" i="3" s="1"/>
  <c r="CF119" i="4"/>
  <c r="U83" i="3" s="1"/>
  <c r="CF111" i="4"/>
  <c r="I83" i="3" s="1"/>
  <c r="FV77" i="4"/>
  <c r="U25" i="3" s="1"/>
  <c r="FV76" i="4"/>
  <c r="R25" i="3" s="1"/>
  <c r="CF105" i="4"/>
  <c r="R82" i="3" s="1"/>
  <c r="CF91" i="4"/>
  <c r="O81" i="3" s="1"/>
  <c r="FV75" i="4"/>
  <c r="O25" i="3" s="1"/>
  <c r="FE74" i="4"/>
  <c r="L17" i="3" s="1"/>
  <c r="FE79" i="4"/>
  <c r="L18" i="3" s="1"/>
  <c r="FE72" i="4"/>
  <c r="F17" i="3" s="1"/>
  <c r="CC91" i="4"/>
  <c r="O73" i="3" s="1"/>
  <c r="CC73" i="4"/>
  <c r="F72" i="3" s="1"/>
  <c r="CC113" i="4"/>
  <c r="L75" i="3" s="1"/>
  <c r="CC115" i="4"/>
  <c r="O75" i="3" s="1"/>
  <c r="CC99" i="4"/>
  <c r="I74" i="3" s="1"/>
  <c r="D117" i="3"/>
  <c r="F117" i="3" s="1"/>
  <c r="CC83" i="4"/>
  <c r="U72" i="3" s="1"/>
  <c r="CC97" i="4"/>
  <c r="F74" i="3" s="1"/>
  <c r="CC111" i="4"/>
  <c r="I75" i="3" s="1"/>
  <c r="CC79" i="4"/>
  <c r="O72" i="3" s="1"/>
  <c r="CC93" i="4"/>
  <c r="R73" i="3" s="1"/>
  <c r="CC107" i="4"/>
  <c r="U74" i="3" s="1"/>
  <c r="CC75" i="4"/>
  <c r="I72" i="3" s="1"/>
  <c r="CC89" i="4"/>
  <c r="L73" i="3" s="1"/>
  <c r="CC103" i="4"/>
  <c r="O74" i="3" s="1"/>
  <c r="CC117" i="4"/>
  <c r="R75" i="3" s="1"/>
  <c r="CC85" i="4"/>
  <c r="F73" i="3" s="1"/>
  <c r="AD12" i="8"/>
  <c r="GI20" i="4"/>
  <c r="GQ20" i="4"/>
  <c r="DJ20" i="4" s="1"/>
  <c r="GC20" i="4"/>
  <c r="GV14" i="4"/>
  <c r="CC81" i="4"/>
  <c r="R72" i="3" s="1"/>
  <c r="CC95" i="4"/>
  <c r="U73" i="3" s="1"/>
  <c r="CC109" i="4"/>
  <c r="F75" i="3" s="1"/>
  <c r="CC77" i="4"/>
  <c r="L72" i="3" s="1"/>
  <c r="FV13" i="4"/>
  <c r="FP13" i="4" s="1"/>
  <c r="DB16" i="4"/>
  <c r="AD11" i="8"/>
  <c r="GI19" i="4"/>
  <c r="GC19" i="4"/>
  <c r="GQ19" i="4"/>
  <c r="DJ19" i="4" s="1"/>
  <c r="CC105" i="4"/>
  <c r="R74" i="3" s="1"/>
  <c r="CC119" i="4"/>
  <c r="U75" i="3" s="1"/>
  <c r="CC87" i="4"/>
  <c r="I73" i="3" s="1"/>
  <c r="FP56" i="4" l="1"/>
  <c r="AX16" i="4"/>
  <c r="DU16" i="4"/>
  <c r="AX18" i="4"/>
  <c r="GF18" i="4" s="1"/>
  <c r="GK18" i="4" s="1" a="1"/>
  <c r="GK18" i="4" s="1"/>
  <c r="H18" i="4" s="1"/>
  <c r="DU18" i="4"/>
  <c r="AX20" i="4"/>
  <c r="DU20" i="4"/>
  <c r="DT59" i="4"/>
  <c r="DU59" i="4" s="1"/>
  <c r="DT57" i="4"/>
  <c r="DU57" i="4" s="1"/>
  <c r="DT65" i="4"/>
  <c r="DU65" i="4" s="1"/>
  <c r="DT60" i="4"/>
  <c r="DU60" i="4" s="1"/>
  <c r="DT62" i="4"/>
  <c r="DU62" i="4" s="1"/>
  <c r="DT45" i="4"/>
  <c r="DU45" i="4" s="1"/>
  <c r="DT46" i="4"/>
  <c r="DU46" i="4" s="1"/>
  <c r="DT69" i="4"/>
  <c r="DU69" i="4" s="1"/>
  <c r="DT67" i="4"/>
  <c r="DU67" i="4" s="1"/>
  <c r="FP20" i="4"/>
  <c r="FP53" i="4"/>
  <c r="FQ53" i="4" s="1"/>
  <c r="GV53" i="4" s="1"/>
  <c r="FP60" i="4"/>
  <c r="FQ60" i="4" s="1"/>
  <c r="GV60" i="4" s="1"/>
  <c r="FP35" i="4"/>
  <c r="FQ35" i="4" s="1"/>
  <c r="GV35" i="4" s="1"/>
  <c r="FP42" i="4"/>
  <c r="FQ42" i="4" s="1"/>
  <c r="GV42" i="4" s="1"/>
  <c r="FP57" i="4"/>
  <c r="FQ57" i="4" s="1"/>
  <c r="GV57" i="4" s="1"/>
  <c r="FP64" i="4"/>
  <c r="FQ64" i="4" s="1"/>
  <c r="GV64" i="4" s="1"/>
  <c r="FP55" i="4"/>
  <c r="FQ55" i="4" s="1"/>
  <c r="GV55" i="4" s="1"/>
  <c r="FP62" i="4"/>
  <c r="FQ62" i="4" s="1"/>
  <c r="GV62" i="4" s="1"/>
  <c r="FP38" i="4"/>
  <c r="FQ38" i="4" s="1"/>
  <c r="GV38" i="4" s="1"/>
  <c r="FP47" i="4"/>
  <c r="FQ47" i="4" s="1"/>
  <c r="GV47" i="4" s="1"/>
  <c r="FP54" i="4"/>
  <c r="FQ54" i="4" s="1"/>
  <c r="GV54" i="4" s="1"/>
  <c r="FP51" i="4"/>
  <c r="FQ51" i="4" s="1"/>
  <c r="GV51" i="4" s="1"/>
  <c r="FP58" i="4"/>
  <c r="FQ58" i="4" s="1"/>
  <c r="GV58" i="4" s="1"/>
  <c r="FP33" i="4"/>
  <c r="FQ33" i="4" s="1"/>
  <c r="GV33" i="4" s="1"/>
  <c r="FP40" i="4"/>
  <c r="FQ40" i="4" s="1"/>
  <c r="GV40" i="4" s="1"/>
  <c r="FP37" i="4"/>
  <c r="FQ37" i="4" s="1"/>
  <c r="GV37" i="4" s="1"/>
  <c r="EC33" i="4"/>
  <c r="GV15" i="4"/>
  <c r="DT17" i="4"/>
  <c r="DT19" i="4"/>
  <c r="EB25" i="4"/>
  <c r="BA25" i="4" s="1"/>
  <c r="EB15" i="4"/>
  <c r="BA15" i="4" s="1"/>
  <c r="EB31" i="4"/>
  <c r="BA31" i="4" s="1"/>
  <c r="EB21" i="4"/>
  <c r="BA21" i="4" s="1"/>
  <c r="GF16" i="4"/>
  <c r="GK16" i="4" s="1" a="1"/>
  <c r="GK16" i="4" s="1"/>
  <c r="H16" i="4" s="1"/>
  <c r="GR16" i="4"/>
  <c r="GW16" i="4" s="1"/>
  <c r="GF20" i="4"/>
  <c r="GK20" i="4" s="1" a="1"/>
  <c r="GK20" i="4" s="1"/>
  <c r="H20" i="4" s="1"/>
  <c r="GR20" i="4"/>
  <c r="GW20" i="4" s="1"/>
  <c r="DT21" i="4"/>
  <c r="DT14" i="4"/>
  <c r="EB27" i="4"/>
  <c r="BA27" i="4" s="1"/>
  <c r="EB17" i="4"/>
  <c r="BA17" i="4" s="1"/>
  <c r="FP21" i="4"/>
  <c r="FQ21" i="4" s="1"/>
  <c r="GV21" i="4" s="1"/>
  <c r="EC31" i="4"/>
  <c r="EI73" i="4"/>
  <c r="EC27" i="4"/>
  <c r="EI74" i="4"/>
  <c r="DZ51" i="4"/>
  <c r="EC51" i="4"/>
  <c r="DT50" i="4"/>
  <c r="DU50" i="4" s="1"/>
  <c r="EC49" i="4"/>
  <c r="DT48" i="4"/>
  <c r="DU48" i="4" s="1"/>
  <c r="DZ49" i="4"/>
  <c r="DT29" i="4"/>
  <c r="DU29" i="4" s="1"/>
  <c r="EC39" i="4"/>
  <c r="DT38" i="4"/>
  <c r="DU38" i="4" s="1"/>
  <c r="DZ39" i="4"/>
  <c r="DT33" i="4"/>
  <c r="EC35" i="4"/>
  <c r="DZ35" i="4"/>
  <c r="DT47" i="4" s="1"/>
  <c r="DU47" i="4" s="1"/>
  <c r="DT34" i="4"/>
  <c r="DU34" i="4" s="1"/>
  <c r="DT27" i="4"/>
  <c r="DU27" i="4" s="1"/>
  <c r="DT31" i="4"/>
  <c r="EC25" i="4"/>
  <c r="DZ25" i="4"/>
  <c r="DT37" i="4" s="1"/>
  <c r="DU37" i="4" s="1"/>
  <c r="DT24" i="4"/>
  <c r="DU24" i="4" s="1"/>
  <c r="DT53" i="4"/>
  <c r="EC43" i="4"/>
  <c r="DT42" i="4"/>
  <c r="DZ43" i="4"/>
  <c r="GV18" i="4"/>
  <c r="DJ18" i="4"/>
  <c r="GK23" i="4" a="1"/>
  <c r="GK23" i="4" s="1"/>
  <c r="H23" i="4" s="1"/>
  <c r="CM30" i="4"/>
  <c r="FQ13" i="4"/>
  <c r="GV13" i="4" s="1"/>
  <c r="CM28" i="4"/>
  <c r="F34" i="3"/>
  <c r="F33" i="3"/>
  <c r="L34" i="3"/>
  <c r="L33" i="3"/>
  <c r="GV36" i="4"/>
  <c r="CM32" i="4"/>
  <c r="GV43" i="4"/>
  <c r="R30" i="3"/>
  <c r="GV23" i="4"/>
  <c r="FP30" i="4"/>
  <c r="FQ46" i="4"/>
  <c r="GV46" i="4" s="1"/>
  <c r="FQ50" i="4"/>
  <c r="GV50" i="4" s="1"/>
  <c r="FQ48" i="4"/>
  <c r="GV48" i="4" s="1"/>
  <c r="FQ39" i="4"/>
  <c r="GV39" i="4" s="1"/>
  <c r="FQ52" i="4"/>
  <c r="GV52" i="4" s="1"/>
  <c r="FQ49" i="4"/>
  <c r="GV49" i="4" s="1"/>
  <c r="FQ34" i="4"/>
  <c r="GV34" i="4" s="1"/>
  <c r="FQ56" i="4"/>
  <c r="GV56" i="4" s="1"/>
  <c r="FQ44" i="4"/>
  <c r="GV44" i="4" s="1"/>
  <c r="FQ32" i="4"/>
  <c r="GV32" i="4" s="1"/>
  <c r="FQ31" i="4"/>
  <c r="GV31" i="4" s="1"/>
  <c r="FQ45" i="4"/>
  <c r="GV45" i="4" s="1"/>
  <c r="GV25" i="4"/>
  <c r="FQ24" i="4"/>
  <c r="GV24" i="4" s="1"/>
  <c r="CM66" i="4"/>
  <c r="X61" i="3"/>
  <c r="D124" i="3" s="1"/>
  <c r="F124" i="3" s="1"/>
  <c r="X60" i="3"/>
  <c r="D123" i="3" s="1"/>
  <c r="F123" i="3" s="1"/>
  <c r="X62" i="3"/>
  <c r="D125" i="3" s="1"/>
  <c r="F125" i="3" s="1"/>
  <c r="X59" i="3"/>
  <c r="CM16" i="4"/>
  <c r="CM58" i="4"/>
  <c r="R29" i="3"/>
  <c r="CM64" i="4"/>
  <c r="X21" i="3"/>
  <c r="N115" i="3" s="1"/>
  <c r="P115" i="3" s="1"/>
  <c r="Z12" i="3"/>
  <c r="X81" i="3"/>
  <c r="X122" i="3" s="1"/>
  <c r="Z122" i="3" s="1"/>
  <c r="CM46" i="4"/>
  <c r="CM42" i="4"/>
  <c r="CM68" i="4"/>
  <c r="CM62" i="4"/>
  <c r="X19" i="3"/>
  <c r="N114" i="3" s="1"/>
  <c r="P114" i="3" s="1"/>
  <c r="X79" i="3"/>
  <c r="X80" i="3"/>
  <c r="N130" i="3" s="1"/>
  <c r="P130" i="3" s="1"/>
  <c r="X85" i="3"/>
  <c r="X126" i="3" s="1"/>
  <c r="Z126" i="3" s="1"/>
  <c r="CM48" i="4"/>
  <c r="CM44" i="4"/>
  <c r="X76" i="3"/>
  <c r="N126" i="3" s="1"/>
  <c r="P126" i="3" s="1"/>
  <c r="X84" i="3"/>
  <c r="X125" i="3" s="1"/>
  <c r="Z125" i="3" s="1"/>
  <c r="X77" i="3"/>
  <c r="N127" i="3" s="1"/>
  <c r="P127" i="3" s="1"/>
  <c r="X78" i="3"/>
  <c r="N128" i="3" s="1"/>
  <c r="P128" i="3" s="1"/>
  <c r="X86" i="3"/>
  <c r="X127" i="3" s="1"/>
  <c r="Z127" i="3" s="1"/>
  <c r="CM14" i="4"/>
  <c r="CM52" i="4"/>
  <c r="CM70" i="4"/>
  <c r="CM50" i="4"/>
  <c r="CM38" i="4"/>
  <c r="CM36" i="4"/>
  <c r="CM26" i="4"/>
  <c r="CM22" i="4"/>
  <c r="CM20" i="4"/>
  <c r="CM56" i="4"/>
  <c r="CM24" i="4"/>
  <c r="CM12" i="4"/>
  <c r="CM34" i="4"/>
  <c r="CM60" i="4"/>
  <c r="CM40" i="4"/>
  <c r="B17" i="4"/>
  <c r="F8" i="8"/>
  <c r="CM54" i="4"/>
  <c r="FP19" i="4"/>
  <c r="FP12" i="4"/>
  <c r="X25" i="3"/>
  <c r="N118" i="3" s="1"/>
  <c r="P118" i="3" s="1"/>
  <c r="X83" i="3"/>
  <c r="X124" i="3" s="1"/>
  <c r="Z124" i="3" s="1"/>
  <c r="X82" i="3"/>
  <c r="X123" i="3" s="1"/>
  <c r="Z123" i="3" s="1"/>
  <c r="X17" i="3"/>
  <c r="N113" i="3" s="1"/>
  <c r="P113" i="3" s="1"/>
  <c r="GI72" i="4"/>
  <c r="GI73" i="4" s="1"/>
  <c r="GQ10" i="4"/>
  <c r="X72" i="3"/>
  <c r="N122" i="3" s="1"/>
  <c r="P122" i="3" s="1"/>
  <c r="X73" i="3"/>
  <c r="N123" i="3" s="1"/>
  <c r="P123" i="3" s="1"/>
  <c r="FQ20" i="4"/>
  <c r="GV20" i="4" s="1"/>
  <c r="F140" i="3"/>
  <c r="D116" i="3"/>
  <c r="F116" i="3" s="1"/>
  <c r="X75" i="3"/>
  <c r="N125" i="3" s="1"/>
  <c r="P125" i="3" s="1"/>
  <c r="X74" i="3"/>
  <c r="N124" i="3" s="1"/>
  <c r="P124" i="3" s="1"/>
  <c r="GC72" i="4"/>
  <c r="GC73" i="4" s="1"/>
  <c r="D115" i="3"/>
  <c r="F115" i="3" s="1"/>
  <c r="GR18" i="4" l="1"/>
  <c r="GW18" i="4" s="1"/>
  <c r="AX14" i="4"/>
  <c r="DU14" i="4"/>
  <c r="AX19" i="4"/>
  <c r="GF19" i="4" s="1"/>
  <c r="GK19" i="4" s="1" a="1"/>
  <c r="GK19" i="4" s="1"/>
  <c r="H19" i="4" s="1"/>
  <c r="DU19" i="4"/>
  <c r="AC118" i="3"/>
  <c r="AX53" i="4"/>
  <c r="DU53" i="4"/>
  <c r="AX31" i="4"/>
  <c r="GF31" i="4" s="1"/>
  <c r="GK31" i="4" s="1" a="1"/>
  <c r="GK31" i="4" s="1"/>
  <c r="H31" i="4" s="1"/>
  <c r="DU31" i="4"/>
  <c r="AX17" i="4"/>
  <c r="DU17" i="4"/>
  <c r="AX33" i="4"/>
  <c r="GF33" i="4" s="1"/>
  <c r="GK33" i="4" s="1" a="1"/>
  <c r="GK33" i="4" s="1"/>
  <c r="H33" i="4" s="1"/>
  <c r="DU33" i="4"/>
  <c r="AX42" i="4"/>
  <c r="DU42" i="4"/>
  <c r="AX21" i="4"/>
  <c r="GF21" i="4" s="1"/>
  <c r="GK21" i="4" s="1" a="1"/>
  <c r="GK21" i="4" s="1"/>
  <c r="H21" i="4" s="1"/>
  <c r="DU21" i="4"/>
  <c r="DT61" i="4"/>
  <c r="DU61" i="4" s="1"/>
  <c r="DT63" i="4"/>
  <c r="DT55" i="4"/>
  <c r="DU55" i="4" s="1"/>
  <c r="AX57" i="4"/>
  <c r="GR57" i="4" s="1"/>
  <c r="GW57" i="4" s="1"/>
  <c r="AX29" i="4"/>
  <c r="GR29" i="4" s="1"/>
  <c r="GW29" i="4" s="1"/>
  <c r="AX50" i="4"/>
  <c r="GR50" i="4" s="1"/>
  <c r="GW50" i="4" s="1"/>
  <c r="AX45" i="4"/>
  <c r="AX32" i="4"/>
  <c r="AX54" i="4"/>
  <c r="AX27" i="4"/>
  <c r="GR27" i="4" s="1"/>
  <c r="GW27" i="4" s="1"/>
  <c r="AX34" i="4"/>
  <c r="GF34" i="4" s="1"/>
  <c r="GK34" i="4" s="1" a="1"/>
  <c r="GK34" i="4" s="1"/>
  <c r="H34" i="4" s="1"/>
  <c r="AX55" i="4"/>
  <c r="AX41" i="4"/>
  <c r="AX56" i="4"/>
  <c r="AX24" i="4"/>
  <c r="GF24" i="4" s="1"/>
  <c r="AX70" i="4"/>
  <c r="AX64" i="4"/>
  <c r="AX58" i="4"/>
  <c r="AX60" i="4"/>
  <c r="AX59" i="4"/>
  <c r="AX67" i="4"/>
  <c r="AX66" i="4"/>
  <c r="AX68" i="4"/>
  <c r="AX65" i="4"/>
  <c r="AX62" i="4"/>
  <c r="AX69" i="4"/>
  <c r="AX71" i="4"/>
  <c r="AX61" i="4"/>
  <c r="AX47" i="4"/>
  <c r="GR47" i="4" s="1"/>
  <c r="GW47" i="4" s="1"/>
  <c r="AX37" i="4"/>
  <c r="GR37" i="4" s="1"/>
  <c r="GW37" i="4" s="1"/>
  <c r="AX38" i="4"/>
  <c r="GF38" i="4" s="1"/>
  <c r="GK38" i="4" s="1" a="1"/>
  <c r="GK38" i="4" s="1"/>
  <c r="H38" i="4" s="1"/>
  <c r="AX48" i="4"/>
  <c r="AX36" i="4"/>
  <c r="AX40" i="4"/>
  <c r="AX26" i="4"/>
  <c r="AX44" i="4"/>
  <c r="AX30" i="4"/>
  <c r="AX46" i="4"/>
  <c r="AX52" i="4"/>
  <c r="AX28" i="4"/>
  <c r="GR14" i="4"/>
  <c r="GW14" i="4" s="1"/>
  <c r="GF14" i="4"/>
  <c r="GK14" i="4" s="1" a="1"/>
  <c r="GK14" i="4" s="1"/>
  <c r="H14" i="4" s="1"/>
  <c r="DT15" i="4"/>
  <c r="GF17" i="4"/>
  <c r="GK17" i="4" s="1" a="1"/>
  <c r="GK17" i="4" s="1"/>
  <c r="H17" i="4" s="1"/>
  <c r="GR17" i="4"/>
  <c r="GW17" i="4" s="1"/>
  <c r="GR31" i="4"/>
  <c r="GW31" i="4" s="1"/>
  <c r="GF29" i="4"/>
  <c r="GK29" i="4" s="1" a="1"/>
  <c r="GK29" i="4" s="1"/>
  <c r="H29" i="4" s="1"/>
  <c r="GF50" i="4"/>
  <c r="GK50" i="4" s="1" a="1"/>
  <c r="GK50" i="4" s="1"/>
  <c r="H50" i="4" s="1"/>
  <c r="GF47" i="4"/>
  <c r="GK47" i="4" s="1" a="1"/>
  <c r="GK47" i="4" s="1"/>
  <c r="H47" i="4" s="1"/>
  <c r="GF53" i="4"/>
  <c r="GK53" i="4" s="1" a="1"/>
  <c r="GK53" i="4" s="1"/>
  <c r="H53" i="4" s="1"/>
  <c r="GR53" i="4"/>
  <c r="GW53" i="4" s="1"/>
  <c r="D135" i="3"/>
  <c r="F135" i="3" s="1"/>
  <c r="GF42" i="4"/>
  <c r="GK42" i="4" s="1" a="1"/>
  <c r="GK42" i="4" s="1"/>
  <c r="H42" i="4" s="1"/>
  <c r="GR42" i="4"/>
  <c r="GW42" i="4" s="1"/>
  <c r="GF48" i="4"/>
  <c r="GK48" i="4" s="1" a="1"/>
  <c r="GK48" i="4" s="1"/>
  <c r="H48" i="4" s="1"/>
  <c r="GR48" i="4"/>
  <c r="GW48" i="4" s="1"/>
  <c r="DT43" i="4"/>
  <c r="DT25" i="4"/>
  <c r="DT51" i="4"/>
  <c r="DT39" i="4"/>
  <c r="DT49" i="4"/>
  <c r="DT35" i="4"/>
  <c r="AK46" i="4"/>
  <c r="AO38" i="8" s="1"/>
  <c r="FQ19" i="4"/>
  <c r="GV19" i="4" s="1"/>
  <c r="R35" i="3"/>
  <c r="R37" i="3"/>
  <c r="D139" i="3" s="1"/>
  <c r="F139" i="3" s="1"/>
  <c r="R34" i="3"/>
  <c r="R33" i="3"/>
  <c r="R36" i="3"/>
  <c r="AK33" i="4"/>
  <c r="AK32" i="4"/>
  <c r="AK44" i="4"/>
  <c r="AO36" i="8" s="1"/>
  <c r="AK24" i="4"/>
  <c r="AK35" i="4"/>
  <c r="AK49" i="4"/>
  <c r="AO41" i="8" s="1"/>
  <c r="AK47" i="4"/>
  <c r="GP47" i="4" s="1"/>
  <c r="AK38" i="4"/>
  <c r="GP38" i="4" s="1"/>
  <c r="AK45" i="4"/>
  <c r="AO37" i="8" s="1"/>
  <c r="AK57" i="4"/>
  <c r="AO49" i="8" s="1"/>
  <c r="AK56" i="4"/>
  <c r="GP56" i="4" s="1"/>
  <c r="AK52" i="4"/>
  <c r="AO44" i="8" s="1"/>
  <c r="AK39" i="4"/>
  <c r="GP39" i="4" s="1"/>
  <c r="AK48" i="4"/>
  <c r="AO40" i="8" s="1"/>
  <c r="AK50" i="4"/>
  <c r="GP50" i="4" s="1"/>
  <c r="AK59" i="4"/>
  <c r="AK60" i="4"/>
  <c r="AK62" i="4"/>
  <c r="AK69" i="4"/>
  <c r="AK63" i="4"/>
  <c r="AK66" i="4"/>
  <c r="AK64" i="4"/>
  <c r="AK70" i="4"/>
  <c r="AK65" i="4"/>
  <c r="AK61" i="4"/>
  <c r="AK58" i="4"/>
  <c r="AK67" i="4"/>
  <c r="AK71" i="4"/>
  <c r="AK68" i="4"/>
  <c r="AK29" i="4"/>
  <c r="AK28" i="4"/>
  <c r="AK40" i="4"/>
  <c r="AK36" i="4"/>
  <c r="AK55" i="4"/>
  <c r="AK41" i="4"/>
  <c r="AK54" i="4"/>
  <c r="AK42" i="4"/>
  <c r="AK23" i="4"/>
  <c r="AK27" i="4"/>
  <c r="AK22" i="4"/>
  <c r="AK43" i="4"/>
  <c r="AK26" i="4"/>
  <c r="AK25" i="4"/>
  <c r="AK21" i="4"/>
  <c r="AK37" i="4"/>
  <c r="AK31" i="4"/>
  <c r="AK53" i="4"/>
  <c r="GP53" i="4" s="1"/>
  <c r="AK34" i="4"/>
  <c r="AK51" i="4"/>
  <c r="AO43" i="8" s="1"/>
  <c r="AK20" i="4"/>
  <c r="AO12" i="8" s="1"/>
  <c r="R32" i="3"/>
  <c r="R39" i="3"/>
  <c r="N136" i="3" s="1"/>
  <c r="P136" i="3" s="1"/>
  <c r="R31" i="3"/>
  <c r="R38" i="3"/>
  <c r="N129" i="3"/>
  <c r="P129" i="3" s="1"/>
  <c r="FQ30" i="4"/>
  <c r="GV30" i="4" s="1"/>
  <c r="AK30" i="4"/>
  <c r="Z61" i="3"/>
  <c r="D122" i="3"/>
  <c r="F122" i="3" s="1"/>
  <c r="AK19" i="4"/>
  <c r="AO11" i="8" s="1"/>
  <c r="AK14" i="4"/>
  <c r="AK18" i="4"/>
  <c r="AK17" i="4"/>
  <c r="AK15" i="4"/>
  <c r="AK13" i="4"/>
  <c r="AK16" i="4"/>
  <c r="F9" i="8"/>
  <c r="B18" i="4"/>
  <c r="CM111" i="4"/>
  <c r="I89" i="3" s="1"/>
  <c r="CM101" i="4"/>
  <c r="L88" i="3" s="1"/>
  <c r="CM103" i="4"/>
  <c r="O88" i="3" s="1"/>
  <c r="CM115" i="4"/>
  <c r="O89" i="3" s="1"/>
  <c r="CM89" i="4"/>
  <c r="L87" i="3" s="1"/>
  <c r="CM107" i="4"/>
  <c r="U88" i="3" s="1"/>
  <c r="CM99" i="4"/>
  <c r="I88" i="3" s="1"/>
  <c r="CM105" i="4"/>
  <c r="R88" i="3" s="1"/>
  <c r="CM113" i="4"/>
  <c r="L89" i="3" s="1"/>
  <c r="CM119" i="4"/>
  <c r="U89" i="3" s="1"/>
  <c r="CM87" i="4"/>
  <c r="I87" i="3" s="1"/>
  <c r="CM95" i="4"/>
  <c r="U87" i="3" s="1"/>
  <c r="CM91" i="4"/>
  <c r="O87" i="3" s="1"/>
  <c r="CM117" i="4"/>
  <c r="R89" i="3" s="1"/>
  <c r="CM93" i="4"/>
  <c r="R87" i="3" s="1"/>
  <c r="Z24" i="3"/>
  <c r="FQ12" i="4"/>
  <c r="GV12" i="4" s="1"/>
  <c r="AK12" i="4"/>
  <c r="GR19" i="4" l="1"/>
  <c r="GW19" i="4" s="1"/>
  <c r="GF27" i="4"/>
  <c r="GK27" i="4" s="1" a="1"/>
  <c r="GK27" i="4" s="1"/>
  <c r="H27" i="4" s="1"/>
  <c r="GR21" i="4"/>
  <c r="GW21" i="4" s="1"/>
  <c r="GR33" i="4"/>
  <c r="GW33" i="4" s="1"/>
  <c r="AX35" i="4"/>
  <c r="DU35" i="4"/>
  <c r="AX25" i="4"/>
  <c r="DU25" i="4"/>
  <c r="AX15" i="4"/>
  <c r="GR15" i="4" s="1"/>
  <c r="GW15" i="4" s="1"/>
  <c r="DU15" i="4"/>
  <c r="AX49" i="4"/>
  <c r="DU49" i="4"/>
  <c r="AX43" i="4"/>
  <c r="GR43" i="4" s="1"/>
  <c r="GW43" i="4" s="1"/>
  <c r="DU43" i="4"/>
  <c r="AX63" i="4"/>
  <c r="DU63" i="4"/>
  <c r="AX39" i="4"/>
  <c r="GF39" i="4" s="1"/>
  <c r="GK39" i="4" s="1" a="1"/>
  <c r="GK39" i="4" s="1"/>
  <c r="H39" i="4" s="1"/>
  <c r="DU39" i="4"/>
  <c r="AX51" i="4"/>
  <c r="DU51" i="4"/>
  <c r="GR38" i="4"/>
  <c r="GW38" i="4" s="1"/>
  <c r="GF57" i="4"/>
  <c r="GK57" i="4" s="1" a="1"/>
  <c r="GK57" i="4" s="1"/>
  <c r="H57" i="4" s="1"/>
  <c r="GR24" i="4"/>
  <c r="GW24" i="4" s="1"/>
  <c r="GR34" i="4"/>
  <c r="GW34" i="4" s="1"/>
  <c r="GF37" i="4"/>
  <c r="GK37" i="4" s="1" a="1"/>
  <c r="GK37" i="4" s="1"/>
  <c r="H37" i="4" s="1"/>
  <c r="GR30" i="4"/>
  <c r="GW30" i="4" s="1"/>
  <c r="GF30" i="4"/>
  <c r="GK30" i="4" s="1" a="1"/>
  <c r="GK30" i="4" s="1"/>
  <c r="H30" i="4" s="1"/>
  <c r="GR36" i="4"/>
  <c r="GW36" i="4" s="1"/>
  <c r="GF36" i="4"/>
  <c r="GK36" i="4" s="1" a="1"/>
  <c r="GK36" i="4" s="1"/>
  <c r="H36" i="4" s="1"/>
  <c r="GF62" i="4"/>
  <c r="GK62" i="4" s="1" a="1"/>
  <c r="GK62" i="4" s="1"/>
  <c r="H62" i="4" s="1"/>
  <c r="GR62" i="4"/>
  <c r="GW62" i="4" s="1"/>
  <c r="GR66" i="4"/>
  <c r="GW66" i="4" s="1"/>
  <c r="GF66" i="4"/>
  <c r="GK66" i="4" s="1" a="1"/>
  <c r="GK66" i="4" s="1"/>
  <c r="H66" i="4" s="1"/>
  <c r="GF58" i="4"/>
  <c r="GK58" i="4" s="1" a="1"/>
  <c r="GK58" i="4" s="1"/>
  <c r="H58" i="4" s="1"/>
  <c r="GR58" i="4"/>
  <c r="GW58" i="4" s="1"/>
  <c r="GF56" i="4"/>
  <c r="GK56" i="4" s="1" a="1"/>
  <c r="GK56" i="4" s="1"/>
  <c r="H56" i="4" s="1"/>
  <c r="GR56" i="4"/>
  <c r="GW56" i="4" s="1"/>
  <c r="GF28" i="4"/>
  <c r="GK28" i="4" s="1" a="1"/>
  <c r="GK28" i="4" s="1"/>
  <c r="H28" i="4" s="1"/>
  <c r="GR28" i="4"/>
  <c r="GW28" i="4" s="1"/>
  <c r="GR44" i="4"/>
  <c r="GW44" i="4" s="1"/>
  <c r="GF44" i="4"/>
  <c r="GK44" i="4" s="1" a="1"/>
  <c r="GK44" i="4" s="1"/>
  <c r="H44" i="4" s="1"/>
  <c r="GF61" i="4"/>
  <c r="GK61" i="4" s="1" a="1"/>
  <c r="GK61" i="4" s="1"/>
  <c r="H61" i="4" s="1"/>
  <c r="GR61" i="4"/>
  <c r="GW61" i="4" s="1"/>
  <c r="GR63" i="4"/>
  <c r="GW63" i="4" s="1"/>
  <c r="GF63" i="4"/>
  <c r="GK63" i="4" s="1" a="1"/>
  <c r="GK63" i="4" s="1"/>
  <c r="H63" i="4" s="1"/>
  <c r="GR67" i="4"/>
  <c r="GW67" i="4" s="1"/>
  <c r="GF67" i="4"/>
  <c r="GK67" i="4" s="1" a="1"/>
  <c r="GK67" i="4" s="1"/>
  <c r="H67" i="4" s="1"/>
  <c r="GF64" i="4"/>
  <c r="GK64" i="4" s="1" a="1"/>
  <c r="GK64" i="4" s="1"/>
  <c r="H64" i="4" s="1"/>
  <c r="GR64" i="4"/>
  <c r="GW64" i="4" s="1"/>
  <c r="GF41" i="4"/>
  <c r="GK41" i="4" s="1" a="1"/>
  <c r="GK41" i="4" s="1"/>
  <c r="H41" i="4" s="1"/>
  <c r="GR41" i="4"/>
  <c r="GW41" i="4" s="1"/>
  <c r="GF54" i="4"/>
  <c r="GK54" i="4" s="1" a="1"/>
  <c r="GK54" i="4" s="1"/>
  <c r="H54" i="4" s="1"/>
  <c r="GR54" i="4"/>
  <c r="GW54" i="4" s="1"/>
  <c r="GR52" i="4"/>
  <c r="GW52" i="4" s="1"/>
  <c r="GF52" i="4"/>
  <c r="GK52" i="4" s="1" a="1"/>
  <c r="GK52" i="4" s="1"/>
  <c r="H52" i="4" s="1"/>
  <c r="GF26" i="4"/>
  <c r="GK26" i="4" s="1" a="1"/>
  <c r="GK26" i="4" s="1"/>
  <c r="H26" i="4" s="1"/>
  <c r="GR26" i="4"/>
  <c r="GW26" i="4" s="1"/>
  <c r="GF71" i="4"/>
  <c r="GK71" i="4" s="1" a="1"/>
  <c r="GK71" i="4" s="1"/>
  <c r="H71" i="4" s="1"/>
  <c r="GR71" i="4"/>
  <c r="GW71" i="4" s="1"/>
  <c r="GR65" i="4"/>
  <c r="GW65" i="4" s="1"/>
  <c r="GF65" i="4"/>
  <c r="GK65" i="4" s="1" a="1"/>
  <c r="GK65" i="4" s="1"/>
  <c r="H65" i="4" s="1"/>
  <c r="GF59" i="4"/>
  <c r="GK59" i="4" s="1" a="1"/>
  <c r="GK59" i="4" s="1"/>
  <c r="H59" i="4" s="1"/>
  <c r="GR59" i="4"/>
  <c r="GW59" i="4" s="1"/>
  <c r="GF70" i="4"/>
  <c r="GK70" i="4" s="1" a="1"/>
  <c r="GK70" i="4" s="1"/>
  <c r="H70" i="4" s="1"/>
  <c r="GR70" i="4"/>
  <c r="GW70" i="4" s="1"/>
  <c r="GR55" i="4"/>
  <c r="GW55" i="4" s="1"/>
  <c r="GF55" i="4"/>
  <c r="GK55" i="4" s="1" a="1"/>
  <c r="GK55" i="4" s="1"/>
  <c r="H55" i="4" s="1"/>
  <c r="GF32" i="4"/>
  <c r="GK32" i="4" s="1" a="1"/>
  <c r="GK32" i="4" s="1"/>
  <c r="H32" i="4" s="1"/>
  <c r="GR32" i="4"/>
  <c r="GW32" i="4" s="1"/>
  <c r="GF46" i="4"/>
  <c r="GK46" i="4" s="1" a="1"/>
  <c r="GK46" i="4" s="1"/>
  <c r="H46" i="4" s="1"/>
  <c r="GR46" i="4"/>
  <c r="GW46" i="4" s="1"/>
  <c r="GR40" i="4"/>
  <c r="GW40" i="4" s="1"/>
  <c r="GF40" i="4"/>
  <c r="GK40" i="4" s="1" a="1"/>
  <c r="GK40" i="4" s="1"/>
  <c r="H40" i="4" s="1"/>
  <c r="GF69" i="4"/>
  <c r="GK69" i="4" s="1" a="1"/>
  <c r="GK69" i="4" s="1"/>
  <c r="H69" i="4" s="1"/>
  <c r="GR69" i="4"/>
  <c r="GW69" i="4" s="1"/>
  <c r="GF68" i="4"/>
  <c r="GK68" i="4" s="1" a="1"/>
  <c r="GK68" i="4" s="1"/>
  <c r="H68" i="4" s="1"/>
  <c r="GR68" i="4"/>
  <c r="GW68" i="4" s="1"/>
  <c r="GF60" i="4"/>
  <c r="GK60" i="4" s="1" a="1"/>
  <c r="GK60" i="4" s="1"/>
  <c r="H60" i="4" s="1"/>
  <c r="GR60" i="4"/>
  <c r="GW60" i="4" s="1"/>
  <c r="GR45" i="4"/>
  <c r="GW45" i="4" s="1"/>
  <c r="GF45" i="4"/>
  <c r="GK45" i="4" s="1" a="1"/>
  <c r="GK45" i="4" s="1"/>
  <c r="H45" i="4" s="1"/>
  <c r="N135" i="3"/>
  <c r="P135" i="3" s="1"/>
  <c r="GP46" i="4"/>
  <c r="GF49" i="4"/>
  <c r="GK49" i="4" s="1" a="1"/>
  <c r="GK49" i="4" s="1"/>
  <c r="H49" i="4" s="1"/>
  <c r="GR49" i="4"/>
  <c r="GW49" i="4" s="1"/>
  <c r="GF25" i="4"/>
  <c r="GK25" i="4" s="1" a="1"/>
  <c r="GK25" i="4" s="1"/>
  <c r="H25" i="4" s="1"/>
  <c r="GR25" i="4"/>
  <c r="GW25" i="4" s="1"/>
  <c r="GF43" i="4"/>
  <c r="GK43" i="4" s="1" a="1"/>
  <c r="GK43" i="4" s="1"/>
  <c r="H43" i="4" s="1"/>
  <c r="GF35" i="4"/>
  <c r="GK35" i="4" s="1" a="1"/>
  <c r="GK35" i="4" s="1"/>
  <c r="H35" i="4" s="1"/>
  <c r="GR35" i="4"/>
  <c r="GW35" i="4" s="1"/>
  <c r="GF51" i="4"/>
  <c r="GK51" i="4" s="1" a="1"/>
  <c r="GK51" i="4" s="1"/>
  <c r="H51" i="4" s="1"/>
  <c r="GR51" i="4"/>
  <c r="GW51" i="4" s="1"/>
  <c r="GK24" i="4" a="1"/>
  <c r="GK24" i="4" s="1"/>
  <c r="D137" i="3"/>
  <c r="F137" i="3" s="1"/>
  <c r="D136" i="3"/>
  <c r="D138" i="3"/>
  <c r="F138" i="3" s="1"/>
  <c r="GP49" i="4"/>
  <c r="GP20" i="4"/>
  <c r="AO39" i="8"/>
  <c r="AO45" i="8"/>
  <c r="GP57" i="4"/>
  <c r="GP48" i="4"/>
  <c r="AO48" i="8"/>
  <c r="AO42" i="8"/>
  <c r="GP45" i="4"/>
  <c r="GP44" i="4"/>
  <c r="AO31" i="8"/>
  <c r="GP52" i="4"/>
  <c r="AO30" i="8"/>
  <c r="GP51" i="4"/>
  <c r="AO46" i="8"/>
  <c r="GP54" i="4"/>
  <c r="AO32" i="8"/>
  <c r="GP40" i="4"/>
  <c r="GP71" i="4"/>
  <c r="AO63" i="8"/>
  <c r="GP65" i="4"/>
  <c r="AO57" i="8"/>
  <c r="AO55" i="8"/>
  <c r="GP63" i="4"/>
  <c r="AO51" i="8"/>
  <c r="GP59" i="4"/>
  <c r="AO33" i="8"/>
  <c r="GP41" i="4"/>
  <c r="AO59" i="8"/>
  <c r="GP67" i="4"/>
  <c r="AO62" i="8"/>
  <c r="GP70" i="4"/>
  <c r="GP69" i="4"/>
  <c r="AO61" i="8"/>
  <c r="GP55" i="4"/>
  <c r="AO47" i="8"/>
  <c r="AO50" i="8"/>
  <c r="GP58" i="4"/>
  <c r="GP64" i="4"/>
  <c r="AO56" i="8"/>
  <c r="AO54" i="8"/>
  <c r="GP62" i="4"/>
  <c r="AO29" i="8"/>
  <c r="GP37" i="4"/>
  <c r="AO35" i="8"/>
  <c r="GP43" i="4"/>
  <c r="AO34" i="8"/>
  <c r="GP42" i="4"/>
  <c r="AO28" i="8"/>
  <c r="GP36" i="4"/>
  <c r="AO60" i="8"/>
  <c r="GP68" i="4"/>
  <c r="GP61" i="4"/>
  <c r="AO53" i="8"/>
  <c r="AO58" i="8"/>
  <c r="GP66" i="4"/>
  <c r="AO52" i="8"/>
  <c r="GP60" i="4"/>
  <c r="F136" i="3"/>
  <c r="GP19" i="4"/>
  <c r="AO15" i="8"/>
  <c r="GP23" i="4"/>
  <c r="AO10" i="8"/>
  <c r="GP18" i="4"/>
  <c r="AO13" i="8"/>
  <c r="GP21" i="4"/>
  <c r="AO16" i="8"/>
  <c r="GP24" i="4"/>
  <c r="AO18" i="8"/>
  <c r="GP26" i="4"/>
  <c r="AO5" i="8"/>
  <c r="GP13" i="4"/>
  <c r="AO6" i="8"/>
  <c r="GP14" i="4"/>
  <c r="AO14" i="8"/>
  <c r="GP22" i="4"/>
  <c r="AO23" i="8"/>
  <c r="GP31" i="4"/>
  <c r="AO21" i="8"/>
  <c r="GP29" i="4"/>
  <c r="AO7" i="8"/>
  <c r="GP15" i="4"/>
  <c r="AO19" i="8"/>
  <c r="GP27" i="4"/>
  <c r="AO27" i="8"/>
  <c r="GP35" i="4"/>
  <c r="AO25" i="8"/>
  <c r="GP33" i="4"/>
  <c r="AO20" i="8"/>
  <c r="GP28" i="4"/>
  <c r="AO8" i="8"/>
  <c r="GP16" i="4"/>
  <c r="AO9" i="8"/>
  <c r="GP17" i="4"/>
  <c r="AO17" i="8"/>
  <c r="GP25" i="4"/>
  <c r="AO26" i="8"/>
  <c r="GP34" i="4"/>
  <c r="AO24" i="8"/>
  <c r="GP32" i="4"/>
  <c r="AO22" i="8"/>
  <c r="GP30" i="4"/>
  <c r="F10" i="8"/>
  <c r="B19" i="4"/>
  <c r="X89" i="3"/>
  <c r="X130" i="3" s="1"/>
  <c r="Z130" i="3" s="1"/>
  <c r="X87" i="3"/>
  <c r="X88" i="3"/>
  <c r="X129" i="3" s="1"/>
  <c r="Z129" i="3" s="1"/>
  <c r="GP12" i="4"/>
  <c r="AO4" i="8"/>
  <c r="GR39" i="4" l="1"/>
  <c r="GW39" i="4" s="1"/>
  <c r="GF15" i="4"/>
  <c r="GK15" i="4" s="1" a="1"/>
  <c r="GK15" i="4" s="1"/>
  <c r="H15" i="4" s="1"/>
  <c r="H24" i="4"/>
  <c r="X128" i="3"/>
  <c r="Z128" i="3" s="1"/>
  <c r="AC130" i="3" s="1"/>
  <c r="Z88" i="3"/>
  <c r="GP10" i="4"/>
  <c r="F11" i="8"/>
  <c r="B20" i="4"/>
  <c r="DZ74" i="4"/>
  <c r="DZ73" i="4"/>
  <c r="R40" i="3"/>
  <c r="N137" i="3" s="1"/>
  <c r="GU10" i="4" l="1"/>
  <c r="GQ9" i="4" s="1"/>
  <c r="P91" i="3" s="1"/>
  <c r="GF72" i="4"/>
  <c r="GE73" i="4" s="1"/>
  <c r="GJ10" i="4"/>
  <c r="D142" i="3"/>
  <c r="F142" i="3" s="1"/>
  <c r="AC139" i="3" s="1"/>
  <c r="Z36" i="3"/>
  <c r="K91" i="3" s="1"/>
  <c r="X155" i="3" s="1"/>
  <c r="F12" i="8"/>
  <c r="B21" i="4"/>
  <c r="AB143" i="3" l="1"/>
  <c r="B22" i="4"/>
  <c r="F14" i="8" s="1"/>
  <c r="F13" i="8"/>
  <c r="B23" i="4" l="1"/>
  <c r="B24" i="4" s="1"/>
  <c r="F16" i="8" s="1"/>
  <c r="F15" i="8" l="1"/>
  <c r="B25" i="4"/>
  <c r="F17" i="8" s="1"/>
  <c r="B26" i="4" l="1"/>
  <c r="F18" i="8" l="1"/>
  <c r="B27" i="4"/>
  <c r="F19" i="8" s="1"/>
  <c r="B28" i="4" l="1"/>
  <c r="B29" i="4" l="1"/>
  <c r="F21" i="8" s="1"/>
  <c r="F20" i="8"/>
  <c r="B30" i="4" l="1"/>
  <c r="F22" i="8" l="1"/>
  <c r="B31" i="4"/>
  <c r="F23" i="8" l="1"/>
  <c r="B32" i="4"/>
  <c r="B33" i="4" s="1"/>
  <c r="F25" i="8" s="1"/>
  <c r="F24" i="8" l="1"/>
  <c r="B34" i="4"/>
  <c r="F26" i="8" l="1"/>
  <c r="B35" i="4"/>
  <c r="F27" i="8" s="1"/>
  <c r="B36" i="4" l="1"/>
  <c r="F28" i="8" s="1"/>
  <c r="B37" i="4" l="1"/>
  <c r="F29" i="8" l="1"/>
  <c r="B38" i="4"/>
  <c r="F30" i="8" s="1"/>
  <c r="B39" i="4" l="1"/>
  <c r="F31" i="8" l="1"/>
  <c r="B40" i="4"/>
  <c r="F32" i="8" l="1"/>
  <c r="B41" i="4"/>
  <c r="B42" i="4" l="1"/>
  <c r="F33" i="8"/>
  <c r="F34" i="8" l="1"/>
  <c r="B43" i="4"/>
  <c r="F35" i="8" l="1"/>
  <c r="B44" i="4"/>
  <c r="F36" i="8" l="1"/>
  <c r="B45" i="4"/>
  <c r="F37" i="8" s="1"/>
  <c r="B46" i="4" l="1"/>
  <c r="F38" i="8" s="1"/>
  <c r="B47" i="4" l="1"/>
  <c r="F39" i="8" s="1"/>
  <c r="B48" i="4" l="1"/>
  <c r="F40" i="8" s="1"/>
  <c r="B49" i="4" l="1"/>
  <c r="F41" i="8" s="1"/>
  <c r="B50" i="4" l="1"/>
  <c r="F42" i="8" s="1"/>
  <c r="B51" i="4" l="1"/>
  <c r="F43" i="8" s="1"/>
  <c r="B52" i="4" l="1"/>
  <c r="F44" i="8" s="1"/>
  <c r="B53" i="4" l="1"/>
  <c r="F45" i="8" s="1"/>
  <c r="B54" i="4" l="1"/>
  <c r="F46" i="8" s="1"/>
  <c r="B55" i="4" l="1"/>
  <c r="F47" i="8" s="1"/>
  <c r="B56" i="4" l="1"/>
  <c r="B57" i="4" s="1"/>
  <c r="F49" i="8" s="1"/>
  <c r="B58" i="4" l="1"/>
  <c r="F50" i="8" s="1"/>
  <c r="F48" i="8"/>
  <c r="B59" i="4" l="1"/>
  <c r="F51" i="8" s="1"/>
  <c r="B60" i="4" l="1"/>
  <c r="F52" i="8" s="1"/>
  <c r="B61" i="4"/>
  <c r="F53" i="8" s="1"/>
  <c r="B62" i="4" l="1"/>
  <c r="F54" i="8" l="1"/>
  <c r="B63" i="4"/>
  <c r="F55" i="8" l="1"/>
  <c r="B64" i="4"/>
  <c r="F56" i="8" l="1"/>
  <c r="B65" i="4"/>
  <c r="F57" i="8" s="1"/>
  <c r="B66" i="4" l="1"/>
  <c r="F58" i="8" s="1"/>
  <c r="B67" i="4" l="1"/>
  <c r="F59" i="8" s="1"/>
  <c r="B68" i="4" l="1"/>
  <c r="F60" i="8" s="1"/>
  <c r="B69" i="4" l="1"/>
  <c r="F61" i="8" l="1"/>
  <c r="B70" i="4"/>
  <c r="F62" i="8" l="1"/>
  <c r="B71" i="4"/>
  <c r="F63" i="8" l="1"/>
  <c r="U91" i="3" a="1"/>
  <c r="U91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<sst xmlns="http://schemas.openxmlformats.org/spreadsheetml/2006/main" count="2231" uniqueCount="1214">
  <si>
    <t>参加費</t>
    <rPh sb="0" eb="3">
      <t>サンカヒ</t>
    </rPh>
    <phoneticPr fontId="4"/>
  </si>
  <si>
    <t>小学生</t>
    <rPh sb="0" eb="3">
      <t>ショウガクセイ</t>
    </rPh>
    <phoneticPr fontId="4"/>
  </si>
  <si>
    <t>中学生</t>
    <rPh sb="0" eb="3">
      <t>チュウガクセイ</t>
    </rPh>
    <phoneticPr fontId="4"/>
  </si>
  <si>
    <t>高校生</t>
    <rPh sb="0" eb="3">
      <t>コウコウセイ</t>
    </rPh>
    <phoneticPr fontId="4"/>
  </si>
  <si>
    <t>7歳</t>
    <rPh sb="1" eb="2">
      <t>サイ</t>
    </rPh>
    <phoneticPr fontId="4"/>
  </si>
  <si>
    <t>8歳</t>
    <rPh sb="1" eb="2">
      <t>サイ</t>
    </rPh>
    <phoneticPr fontId="4"/>
  </si>
  <si>
    <t>9歳</t>
    <rPh sb="1" eb="2">
      <t>サイ</t>
    </rPh>
    <phoneticPr fontId="4"/>
  </si>
  <si>
    <t>10歳</t>
    <rPh sb="2" eb="3">
      <t>サイ</t>
    </rPh>
    <phoneticPr fontId="4"/>
  </si>
  <si>
    <t>11歳</t>
    <rPh sb="2" eb="3">
      <t>サイ</t>
    </rPh>
    <phoneticPr fontId="4"/>
  </si>
  <si>
    <t>12歳</t>
    <rPh sb="2" eb="3">
      <t>サイ</t>
    </rPh>
    <phoneticPr fontId="4"/>
  </si>
  <si>
    <t>13歳</t>
    <rPh sb="2" eb="3">
      <t>サイ</t>
    </rPh>
    <phoneticPr fontId="4"/>
  </si>
  <si>
    <t>14歳</t>
    <rPh sb="2" eb="3">
      <t>サイ</t>
    </rPh>
    <phoneticPr fontId="4"/>
  </si>
  <si>
    <t>15歳</t>
    <rPh sb="2" eb="3">
      <t>サイ</t>
    </rPh>
    <phoneticPr fontId="4"/>
  </si>
  <si>
    <t>16歳</t>
    <rPh sb="2" eb="3">
      <t>サイ</t>
    </rPh>
    <phoneticPr fontId="4"/>
  </si>
  <si>
    <t>17歳</t>
    <rPh sb="2" eb="3">
      <t>サイ</t>
    </rPh>
    <phoneticPr fontId="4"/>
  </si>
  <si>
    <t>18歳</t>
    <rPh sb="2" eb="3">
      <t>サイ</t>
    </rPh>
    <phoneticPr fontId="4"/>
  </si>
  <si>
    <t>ソロトワール</t>
    <phoneticPr fontId="4"/>
  </si>
  <si>
    <t>女子</t>
    <rPh sb="0" eb="2">
      <t>ジョシ</t>
    </rPh>
    <phoneticPr fontId="4"/>
  </si>
  <si>
    <t>男子</t>
    <rPh sb="0" eb="2">
      <t>ダンシ</t>
    </rPh>
    <phoneticPr fontId="4"/>
  </si>
  <si>
    <t>トゥーバトン</t>
    <phoneticPr fontId="4"/>
  </si>
  <si>
    <t>ソロストラット</t>
    <phoneticPr fontId="4"/>
  </si>
  <si>
    <t>Ｕ－９</t>
    <phoneticPr fontId="3"/>
  </si>
  <si>
    <t>Ｕ－１２</t>
    <phoneticPr fontId="3"/>
  </si>
  <si>
    <t>Ｕ－１５</t>
    <phoneticPr fontId="3"/>
  </si>
  <si>
    <t>Ｕ－１８</t>
    <phoneticPr fontId="3"/>
  </si>
  <si>
    <t>エントリー別人数表</t>
    <rPh sb="5" eb="6">
      <t>ベツ</t>
    </rPh>
    <rPh sb="6" eb="8">
      <t>ニンズウ</t>
    </rPh>
    <rPh sb="8" eb="9">
      <t>ヒョウ</t>
    </rPh>
    <phoneticPr fontId="4"/>
  </si>
  <si>
    <t>所属都県</t>
    <rPh sb="0" eb="2">
      <t>ショゾク</t>
    </rPh>
    <rPh sb="2" eb="3">
      <t>ト</t>
    </rPh>
    <rPh sb="3" eb="4">
      <t>ケン</t>
    </rPh>
    <phoneticPr fontId="4"/>
  </si>
  <si>
    <t>登録団体名</t>
    <rPh sb="0" eb="2">
      <t>トウロク</t>
    </rPh>
    <rPh sb="2" eb="4">
      <t>ダンタイ</t>
    </rPh>
    <rPh sb="4" eb="5">
      <t>メイ</t>
    </rPh>
    <phoneticPr fontId="4"/>
  </si>
  <si>
    <t>年齢</t>
    <rPh sb="0" eb="2">
      <t>ネンレイ</t>
    </rPh>
    <phoneticPr fontId="4"/>
  </si>
  <si>
    <t>合計</t>
    <rPh sb="0" eb="2">
      <t>ゴウケイ</t>
    </rPh>
    <phoneticPr fontId="4"/>
  </si>
  <si>
    <t>スリーバトン</t>
    <phoneticPr fontId="4"/>
  </si>
  <si>
    <t>ダンストワール</t>
    <phoneticPr fontId="4"/>
  </si>
  <si>
    <t>ペア</t>
    <phoneticPr fontId="4"/>
  </si>
  <si>
    <t>選手実数</t>
    <rPh sb="0" eb="2">
      <t>センシュ</t>
    </rPh>
    <rPh sb="2" eb="3">
      <t>ジツ</t>
    </rPh>
    <rPh sb="3" eb="4">
      <t>スウ</t>
    </rPh>
    <phoneticPr fontId="4"/>
  </si>
  <si>
    <t>団体名</t>
    <rPh sb="0" eb="2">
      <t>ダンタイ</t>
    </rPh>
    <rPh sb="2" eb="3">
      <t>メイ</t>
    </rPh>
    <phoneticPr fontId="4"/>
  </si>
  <si>
    <t>都県</t>
    <rPh sb="0" eb="2">
      <t>トケン</t>
    </rPh>
    <phoneticPr fontId="4"/>
  </si>
  <si>
    <t>ダンストワール</t>
    <phoneticPr fontId="4"/>
  </si>
  <si>
    <t>ペア</t>
    <phoneticPr fontId="4"/>
  </si>
  <si>
    <t>～６歳</t>
    <rPh sb="2" eb="3">
      <t>サイ</t>
    </rPh>
    <phoneticPr fontId="4"/>
  </si>
  <si>
    <t>バトン</t>
    <phoneticPr fontId="6"/>
  </si>
  <si>
    <t>入門</t>
    <rPh sb="0" eb="2">
      <t>ニュウモン</t>
    </rPh>
    <phoneticPr fontId="1"/>
  </si>
  <si>
    <t>入門</t>
    <rPh sb="0" eb="2">
      <t>ニュウモン</t>
    </rPh>
    <phoneticPr fontId="4"/>
  </si>
  <si>
    <t>初級</t>
    <rPh sb="0" eb="2">
      <t>ショキュウ</t>
    </rPh>
    <phoneticPr fontId="1"/>
  </si>
  <si>
    <t>初級</t>
    <rPh sb="0" eb="2">
      <t>ショキュウ</t>
    </rPh>
    <phoneticPr fontId="4"/>
  </si>
  <si>
    <t>中級</t>
    <rPh sb="0" eb="2">
      <t>チュウキュウ</t>
    </rPh>
    <phoneticPr fontId="1"/>
  </si>
  <si>
    <t>中級</t>
    <rPh sb="0" eb="2">
      <t>チュウキュウ</t>
    </rPh>
    <phoneticPr fontId="4"/>
  </si>
  <si>
    <t>上級</t>
    <rPh sb="0" eb="2">
      <t>ジョウキュウ</t>
    </rPh>
    <phoneticPr fontId="1"/>
  </si>
  <si>
    <t>上級</t>
    <rPh sb="0" eb="2">
      <t>ジョウキュウ</t>
    </rPh>
    <phoneticPr fontId="4"/>
  </si>
  <si>
    <t>年齢</t>
    <rPh sb="0" eb="2">
      <t>ネンレイ</t>
    </rPh>
    <phoneticPr fontId="6"/>
  </si>
  <si>
    <t>部門</t>
    <rPh sb="0" eb="2">
      <t>ブモン</t>
    </rPh>
    <phoneticPr fontId="6"/>
  </si>
  <si>
    <t>関東６種目</t>
    <rPh sb="0" eb="2">
      <t>カントウ</t>
    </rPh>
    <rPh sb="3" eb="5">
      <t>シュモク</t>
    </rPh>
    <phoneticPr fontId="6"/>
  </si>
  <si>
    <t>ポンポン</t>
    <phoneticPr fontId="6"/>
  </si>
  <si>
    <t>トゥーバトン</t>
    <phoneticPr fontId="6"/>
  </si>
  <si>
    <t>スリーバトン</t>
    <phoneticPr fontId="6"/>
  </si>
  <si>
    <t>ペア</t>
    <phoneticPr fontId="6"/>
  </si>
  <si>
    <t>６種目選手権</t>
    <rPh sb="1" eb="3">
      <t>シュモク</t>
    </rPh>
    <rPh sb="3" eb="6">
      <t>センシュケン</t>
    </rPh>
    <phoneticPr fontId="6"/>
  </si>
  <si>
    <t>エントリー</t>
    <phoneticPr fontId="4"/>
  </si>
  <si>
    <t>総数</t>
    <phoneticPr fontId="6"/>
  </si>
  <si>
    <t>実数</t>
    <phoneticPr fontId="6"/>
  </si>
  <si>
    <t>共通規定
総数</t>
    <rPh sb="0" eb="2">
      <t>キョウツウ</t>
    </rPh>
    <rPh sb="2" eb="4">
      <t>キテイ</t>
    </rPh>
    <rPh sb="5" eb="7">
      <t>ソウスウ</t>
    </rPh>
    <phoneticPr fontId="4"/>
  </si>
  <si>
    <t>関東６種目
総数</t>
    <rPh sb="0" eb="2">
      <t>カントウ</t>
    </rPh>
    <rPh sb="3" eb="5">
      <t>シュモク</t>
    </rPh>
    <rPh sb="6" eb="8">
      <t>ソウスウ</t>
    </rPh>
    <phoneticPr fontId="4"/>
  </si>
  <si>
    <t>６種目選手権
総数</t>
    <rPh sb="1" eb="3">
      <t>シュモク</t>
    </rPh>
    <rPh sb="3" eb="6">
      <t>センシュケン</t>
    </rPh>
    <rPh sb="7" eb="9">
      <t>ソウスウ</t>
    </rPh>
    <phoneticPr fontId="4"/>
  </si>
  <si>
    <t>出場選手情報　入力欄　　（※１人１行に入力）</t>
    <rPh sb="15" eb="16">
      <t>ニン</t>
    </rPh>
    <rPh sb="17" eb="18">
      <t>ギョウ</t>
    </rPh>
    <rPh sb="19" eb="21">
      <t>ニュウリョク</t>
    </rPh>
    <phoneticPr fontId="4"/>
  </si>
  <si>
    <t>No.</t>
    <phoneticPr fontId="4"/>
  </si>
  <si>
    <t>氏名</t>
    <rPh sb="0" eb="2">
      <t>シメイ</t>
    </rPh>
    <phoneticPr fontId="4"/>
  </si>
  <si>
    <t>生年月日</t>
    <rPh sb="0" eb="2">
      <t>セイネン</t>
    </rPh>
    <rPh sb="2" eb="4">
      <t>ガッピ</t>
    </rPh>
    <phoneticPr fontId="4"/>
  </si>
  <si>
    <t>トゥーバトン</t>
    <phoneticPr fontId="4"/>
  </si>
  <si>
    <t>学校名</t>
    <rPh sb="0" eb="3">
      <t>ガッコウメイ</t>
    </rPh>
    <phoneticPr fontId="4"/>
  </si>
  <si>
    <t>都県市区町村</t>
    <rPh sb="0" eb="2">
      <t>トケン</t>
    </rPh>
    <rPh sb="2" eb="4">
      <t>シク</t>
    </rPh>
    <rPh sb="4" eb="6">
      <t>チョウソン</t>
    </rPh>
    <phoneticPr fontId="4"/>
  </si>
  <si>
    <t>例</t>
    <rPh sb="0" eb="1">
      <t>レイ</t>
    </rPh>
    <phoneticPr fontId="4"/>
  </si>
  <si>
    <t>コード反映表</t>
    <rPh sb="3" eb="5">
      <t>ハンエイ</t>
    </rPh>
    <rPh sb="5" eb="6">
      <t>ヒョウ</t>
    </rPh>
    <phoneticPr fontId="4"/>
  </si>
  <si>
    <t>男子</t>
  </si>
  <si>
    <t>1-1</t>
    <phoneticPr fontId="4"/>
  </si>
  <si>
    <t>1-2</t>
    <phoneticPr fontId="4"/>
  </si>
  <si>
    <t>神奈川県横浜市</t>
    <rPh sb="0" eb="4">
      <t>カナガワケン</t>
    </rPh>
    <rPh sb="4" eb="7">
      <t>ヨコハマシ</t>
    </rPh>
    <phoneticPr fontId="4"/>
  </si>
  <si>
    <t>ダンストワール</t>
    <phoneticPr fontId="4"/>
  </si>
  <si>
    <t>ソロストラット</t>
    <phoneticPr fontId="4"/>
  </si>
  <si>
    <t>ペア</t>
    <phoneticPr fontId="4"/>
  </si>
  <si>
    <t>年齢区分</t>
    <rPh sb="0" eb="2">
      <t>ネンレイ</t>
    </rPh>
    <rPh sb="2" eb="4">
      <t>クブン</t>
    </rPh>
    <phoneticPr fontId="4"/>
  </si>
  <si>
    <t>反映コード</t>
    <rPh sb="0" eb="2">
      <t>ハンエイ</t>
    </rPh>
    <phoneticPr fontId="4"/>
  </si>
  <si>
    <t>種目</t>
    <rPh sb="0" eb="2">
      <t>シュモク</t>
    </rPh>
    <phoneticPr fontId="4"/>
  </si>
  <si>
    <t>No.</t>
    <phoneticPr fontId="4"/>
  </si>
  <si>
    <t>ペアNo.</t>
    <phoneticPr fontId="4"/>
  </si>
  <si>
    <t>個人反映コード</t>
    <rPh sb="0" eb="2">
      <t>コジン</t>
    </rPh>
    <rPh sb="2" eb="4">
      <t>ハンエイ</t>
    </rPh>
    <phoneticPr fontId="4"/>
  </si>
  <si>
    <t>ペアコード</t>
    <phoneticPr fontId="4"/>
  </si>
  <si>
    <t>出場種目数</t>
    <rPh sb="0" eb="2">
      <t>シュツジョウ</t>
    </rPh>
    <rPh sb="2" eb="4">
      <t>シュモク</t>
    </rPh>
    <rPh sb="4" eb="5">
      <t>スウ</t>
    </rPh>
    <phoneticPr fontId="4"/>
  </si>
  <si>
    <t>1-1</t>
    <phoneticPr fontId="4"/>
  </si>
  <si>
    <t>1-2</t>
    <phoneticPr fontId="4"/>
  </si>
  <si>
    <t>2-1</t>
    <phoneticPr fontId="4"/>
  </si>
  <si>
    <t>2-2</t>
    <phoneticPr fontId="4"/>
  </si>
  <si>
    <t>3-1</t>
    <phoneticPr fontId="4"/>
  </si>
  <si>
    <t>3-2</t>
    <phoneticPr fontId="4"/>
  </si>
  <si>
    <t>4-1</t>
    <phoneticPr fontId="4"/>
  </si>
  <si>
    <t>4-2</t>
    <phoneticPr fontId="4"/>
  </si>
  <si>
    <t>5-1</t>
    <phoneticPr fontId="4"/>
  </si>
  <si>
    <t>5-2</t>
    <phoneticPr fontId="4"/>
  </si>
  <si>
    <t>6-1</t>
    <phoneticPr fontId="4"/>
  </si>
  <si>
    <t>6-2</t>
    <phoneticPr fontId="4"/>
  </si>
  <si>
    <t>7-1</t>
    <phoneticPr fontId="4"/>
  </si>
  <si>
    <t>7-2</t>
    <phoneticPr fontId="4"/>
  </si>
  <si>
    <t>8-1</t>
    <phoneticPr fontId="4"/>
  </si>
  <si>
    <t>8-2</t>
    <phoneticPr fontId="4"/>
  </si>
  <si>
    <t>9-1</t>
    <phoneticPr fontId="4"/>
  </si>
  <si>
    <t>9-2</t>
    <phoneticPr fontId="4"/>
  </si>
  <si>
    <t>10-1</t>
    <phoneticPr fontId="4"/>
  </si>
  <si>
    <t>10-2</t>
    <phoneticPr fontId="4"/>
  </si>
  <si>
    <t>11-1</t>
    <phoneticPr fontId="4"/>
  </si>
  <si>
    <t>11-2</t>
    <phoneticPr fontId="4"/>
  </si>
  <si>
    <t>12-1</t>
    <phoneticPr fontId="4"/>
  </si>
  <si>
    <t>12-2</t>
    <phoneticPr fontId="4"/>
  </si>
  <si>
    <t>13-1</t>
    <phoneticPr fontId="4"/>
  </si>
  <si>
    <t>13-2</t>
    <phoneticPr fontId="4"/>
  </si>
  <si>
    <t>14-1</t>
    <phoneticPr fontId="4"/>
  </si>
  <si>
    <t>14-2</t>
    <phoneticPr fontId="4"/>
  </si>
  <si>
    <t>15-1</t>
    <phoneticPr fontId="4"/>
  </si>
  <si>
    <t>15-2</t>
    <phoneticPr fontId="4"/>
  </si>
  <si>
    <t>16-1</t>
    <phoneticPr fontId="4"/>
  </si>
  <si>
    <t>16-2</t>
    <phoneticPr fontId="4"/>
  </si>
  <si>
    <t>17-1</t>
    <phoneticPr fontId="4"/>
  </si>
  <si>
    <t>17-2</t>
    <phoneticPr fontId="4"/>
  </si>
  <si>
    <t>18-1</t>
    <phoneticPr fontId="4"/>
  </si>
  <si>
    <t>18-2</t>
    <phoneticPr fontId="4"/>
  </si>
  <si>
    <t>19-1</t>
    <phoneticPr fontId="4"/>
  </si>
  <si>
    <t>19-2</t>
    <phoneticPr fontId="4"/>
  </si>
  <si>
    <t>20-1</t>
    <phoneticPr fontId="4"/>
  </si>
  <si>
    <t>20-2</t>
    <phoneticPr fontId="4"/>
  </si>
  <si>
    <t>21-1</t>
    <phoneticPr fontId="4"/>
  </si>
  <si>
    <t>21-2</t>
    <phoneticPr fontId="4"/>
  </si>
  <si>
    <t>22-1</t>
    <phoneticPr fontId="4"/>
  </si>
  <si>
    <t>22-2</t>
    <phoneticPr fontId="4"/>
  </si>
  <si>
    <t>23-1</t>
    <phoneticPr fontId="4"/>
  </si>
  <si>
    <t>23-2</t>
    <phoneticPr fontId="4"/>
  </si>
  <si>
    <t>24-1</t>
    <phoneticPr fontId="4"/>
  </si>
  <si>
    <t>24-2</t>
    <phoneticPr fontId="4"/>
  </si>
  <si>
    <t>25-1</t>
    <phoneticPr fontId="4"/>
  </si>
  <si>
    <t>25-2</t>
    <phoneticPr fontId="4"/>
  </si>
  <si>
    <t>26-1</t>
    <phoneticPr fontId="4"/>
  </si>
  <si>
    <t>26-2</t>
    <phoneticPr fontId="4"/>
  </si>
  <si>
    <t>27-1</t>
    <phoneticPr fontId="4"/>
  </si>
  <si>
    <t>27-2</t>
    <phoneticPr fontId="4"/>
  </si>
  <si>
    <t>28-1</t>
    <phoneticPr fontId="4"/>
  </si>
  <si>
    <t>28-2</t>
    <phoneticPr fontId="4"/>
  </si>
  <si>
    <t>29-1</t>
    <phoneticPr fontId="4"/>
  </si>
  <si>
    <t>29-2</t>
    <phoneticPr fontId="4"/>
  </si>
  <si>
    <t>30-1</t>
    <phoneticPr fontId="4"/>
  </si>
  <si>
    <t>30-2</t>
    <phoneticPr fontId="4"/>
  </si>
  <si>
    <t>バトン</t>
    <phoneticPr fontId="4"/>
  </si>
  <si>
    <t>ポンポン</t>
    <phoneticPr fontId="6"/>
  </si>
  <si>
    <t>ソロストラット</t>
    <phoneticPr fontId="3"/>
  </si>
  <si>
    <t>スリーバトン</t>
    <phoneticPr fontId="6"/>
  </si>
  <si>
    <t>関東オープン・６種目選手権</t>
    <rPh sb="0" eb="2">
      <t>カントウ</t>
    </rPh>
    <rPh sb="8" eb="10">
      <t>シュモク</t>
    </rPh>
    <rPh sb="10" eb="13">
      <t>センシュケン</t>
    </rPh>
    <phoneticPr fontId="4"/>
  </si>
  <si>
    <t>オープンは記入不要</t>
    <rPh sb="5" eb="7">
      <t>キニュウ</t>
    </rPh>
    <rPh sb="7" eb="9">
      <t>フヨウ</t>
    </rPh>
    <phoneticPr fontId="4"/>
  </si>
  <si>
    <t>初級</t>
    <rPh sb="0" eb="2">
      <t>ショキュウ</t>
    </rPh>
    <phoneticPr fontId="6"/>
  </si>
  <si>
    <t>中級</t>
    <rPh sb="0" eb="2">
      <t>チュウキュウ</t>
    </rPh>
    <phoneticPr fontId="6"/>
  </si>
  <si>
    <t>上級</t>
    <rPh sb="0" eb="2">
      <t>ジョウキュウ</t>
    </rPh>
    <phoneticPr fontId="6"/>
  </si>
  <si>
    <t>1-1</t>
    <phoneticPr fontId="6"/>
  </si>
  <si>
    <t>1-2</t>
    <phoneticPr fontId="6"/>
  </si>
  <si>
    <t>選手権</t>
    <rPh sb="0" eb="3">
      <t>センシュケン</t>
    </rPh>
    <phoneticPr fontId="6"/>
  </si>
  <si>
    <t>入門</t>
    <rPh sb="0" eb="2">
      <t>ニュウモン</t>
    </rPh>
    <phoneticPr fontId="6"/>
  </si>
  <si>
    <t>オープン</t>
    <phoneticPr fontId="6"/>
  </si>
  <si>
    <t>重複</t>
    <rPh sb="0" eb="2">
      <t>チョウフク</t>
    </rPh>
    <phoneticPr fontId="6"/>
  </si>
  <si>
    <t>関東オープン
総数</t>
    <rPh sb="0" eb="2">
      <t>カントウ</t>
    </rPh>
    <rPh sb="7" eb="9">
      <t>ソウスウ</t>
    </rPh>
    <phoneticPr fontId="4"/>
  </si>
  <si>
    <t>入門・初級・中級・上級から選ぶ</t>
    <rPh sb="0" eb="2">
      <t>ニュウモン</t>
    </rPh>
    <rPh sb="3" eb="5">
      <t>ショキュウ</t>
    </rPh>
    <rPh sb="6" eb="8">
      <t>チュウキュウ</t>
    </rPh>
    <rPh sb="9" eb="11">
      <t>ジョウキュウ</t>
    </rPh>
    <rPh sb="13" eb="14">
      <t>エラ</t>
    </rPh>
    <phoneticPr fontId="6"/>
  </si>
  <si>
    <t>茨城県</t>
    <rPh sb="0" eb="3">
      <t>イバラキケン</t>
    </rPh>
    <phoneticPr fontId="4"/>
  </si>
  <si>
    <t>栃木県</t>
    <rPh sb="0" eb="3">
      <t>トチギケン</t>
    </rPh>
    <phoneticPr fontId="4"/>
  </si>
  <si>
    <t>群馬県</t>
    <rPh sb="0" eb="3">
      <t>グンマケン</t>
    </rPh>
    <phoneticPr fontId="4"/>
  </si>
  <si>
    <t>埼玉県</t>
    <rPh sb="0" eb="3">
      <t>サイタマケン</t>
    </rPh>
    <phoneticPr fontId="4"/>
  </si>
  <si>
    <t>千葉県</t>
    <rPh sb="0" eb="3">
      <t>チバケン</t>
    </rPh>
    <phoneticPr fontId="4"/>
  </si>
  <si>
    <t>東京都</t>
    <rPh sb="0" eb="2">
      <t>トウキョウ</t>
    </rPh>
    <rPh sb="2" eb="3">
      <t>ト</t>
    </rPh>
    <phoneticPr fontId="4"/>
  </si>
  <si>
    <t>神奈川県</t>
    <rPh sb="0" eb="4">
      <t>カナガワケン</t>
    </rPh>
    <phoneticPr fontId="4"/>
  </si>
  <si>
    <t>★エラー『＃Ｎ/Ａ』を含んだセルの合計値を出す</t>
    <rPh sb="11" eb="12">
      <t>フク</t>
    </rPh>
    <rPh sb="17" eb="19">
      <t>ゴウケイ</t>
    </rPh>
    <rPh sb="19" eb="20">
      <t>チ</t>
    </rPh>
    <rPh sb="21" eb="22">
      <t>ダ</t>
    </rPh>
    <phoneticPr fontId="4"/>
  </si>
  <si>
    <t>配列数式</t>
    <rPh sb="0" eb="2">
      <t>ハイレツ</t>
    </rPh>
    <rPh sb="2" eb="4">
      <t>スウシキ</t>
    </rPh>
    <phoneticPr fontId="4"/>
  </si>
  <si>
    <t>配列とは、複数のセルの集まりです。配列数式とは、配列（複数セル）を対象に、1つの数式を作成する式です。</t>
    <phoneticPr fontId="4"/>
  </si>
  <si>
    <t>配列数式で使う対象範囲（引数）は、全て同じ行数／列数である必要があります。配列数式は、1つ１つのセルを</t>
    <phoneticPr fontId="4"/>
  </si>
  <si>
    <t>対象に計算するしかない （作業列が必要）といった場合に活躍します。</t>
    <phoneticPr fontId="4"/>
  </si>
  <si>
    <t>↑エラーが出ない数式</t>
    <rPh sb="5" eb="6">
      <t>デ</t>
    </rPh>
    <rPh sb="8" eb="10">
      <t>スウシキ</t>
    </rPh>
    <phoneticPr fontId="4"/>
  </si>
  <si>
    <t>を入力し、最後に「Ｃｔｒｌ」+「Ｓｈｉｔ」+「Ｅｎｔｅｒ」を押して、{＝ＳＵＭ～～｝を付ける。自動的に入力されるもので、手入力しない</t>
    <rPh sb="1" eb="3">
      <t>ニュウリョク</t>
    </rPh>
    <rPh sb="5" eb="7">
      <t>サイゴ</t>
    </rPh>
    <rPh sb="30" eb="31">
      <t>オ</t>
    </rPh>
    <rPh sb="43" eb="44">
      <t>ツ</t>
    </rPh>
    <phoneticPr fontId="4"/>
  </si>
  <si>
    <t>例　=SUM(A1:A5)　エラーセルがある</t>
    <rPh sb="0" eb="1">
      <t>レイ</t>
    </rPh>
    <phoneticPr fontId="4"/>
  </si>
  <si>
    <t>　　=SUM(IF(ISERROR(A1:A5),0,A1:A5))　［Ctrl］キー＋［Shift］キー＋［Enter］キー</t>
    <phoneticPr fontId="4"/>
  </si>
  <si>
    <t>　　{=SUM(IF(ISERROR(A1:A5),0,A1:A5))}</t>
    <phoneticPr fontId="4"/>
  </si>
  <si>
    <t>分解すると</t>
    <rPh sb="0" eb="2">
      <t>ブンカイ</t>
    </rPh>
    <phoneticPr fontId="4"/>
  </si>
  <si>
    <t>=SUM(</t>
  </si>
  <si>
    <t>　IF(ISERROR(A1),0,A1),</t>
  </si>
  <si>
    <t>　IF(ISERROR(A2),0,A2),</t>
  </si>
  <si>
    <t>　IF(ISERROR(A3),0,A3),</t>
  </si>
  <si>
    <t>　IF(ISERROR(A4),0,A4),</t>
  </si>
  <si>
    <t>　IF(ISERROR(A5),0,A5))</t>
  </si>
  <si>
    <t>となる。</t>
    <phoneticPr fontId="4"/>
  </si>
  <si>
    <t>規　Ｂ入門</t>
    <rPh sb="0" eb="1">
      <t>キ</t>
    </rPh>
    <rPh sb="3" eb="5">
      <t>ニュウモン</t>
    </rPh>
    <phoneticPr fontId="6"/>
  </si>
  <si>
    <t>規　Ｂ初級</t>
    <rPh sb="0" eb="1">
      <t>キ</t>
    </rPh>
    <rPh sb="3" eb="5">
      <t>ショキュウ</t>
    </rPh>
    <phoneticPr fontId="6"/>
  </si>
  <si>
    <t>男子</t>
    <rPh sb="0" eb="2">
      <t>ダンシ</t>
    </rPh>
    <phoneticPr fontId="6"/>
  </si>
  <si>
    <t>R-B-6</t>
  </si>
  <si>
    <t>R-B-12</t>
  </si>
  <si>
    <t>R-B-15</t>
  </si>
  <si>
    <t>R-I-6</t>
  </si>
  <si>
    <t>R-A-6</t>
  </si>
  <si>
    <t>R-B-9</t>
  </si>
  <si>
    <t>R-I-9</t>
  </si>
  <si>
    <t>R-A-9</t>
  </si>
  <si>
    <t>R-I-12</t>
  </si>
  <si>
    <t>R-A-12</t>
  </si>
  <si>
    <t>R-I-15</t>
  </si>
  <si>
    <t>R-A-15</t>
  </si>
  <si>
    <t>R-B-18</t>
  </si>
  <si>
    <t>R-I-18</t>
  </si>
  <si>
    <t>R-A-18</t>
  </si>
  <si>
    <t>R-B-19</t>
  </si>
  <si>
    <t>R-I-19</t>
  </si>
  <si>
    <t>R-A-19</t>
  </si>
  <si>
    <t>R-N-6</t>
    <phoneticPr fontId="6"/>
  </si>
  <si>
    <t>R-N-9</t>
    <phoneticPr fontId="6"/>
  </si>
  <si>
    <t>R-N-12</t>
    <phoneticPr fontId="6"/>
  </si>
  <si>
    <t>R-N-15</t>
    <phoneticPr fontId="6"/>
  </si>
  <si>
    <t>R-N-18</t>
    <phoneticPr fontId="6"/>
  </si>
  <si>
    <t>R-N-19</t>
    <phoneticPr fontId="6"/>
  </si>
  <si>
    <t>規　B中級</t>
    <rPh sb="0" eb="1">
      <t>キ</t>
    </rPh>
    <rPh sb="3" eb="5">
      <t>チュウキュウ</t>
    </rPh>
    <phoneticPr fontId="6"/>
  </si>
  <si>
    <t>規　B上級</t>
    <rPh sb="0" eb="1">
      <t>キ</t>
    </rPh>
    <rPh sb="3" eb="5">
      <t>ジョウキュウ</t>
    </rPh>
    <phoneticPr fontId="6"/>
  </si>
  <si>
    <t>PP-B-6</t>
  </si>
  <si>
    <t>PP-B-9</t>
  </si>
  <si>
    <t>PP-B-12</t>
  </si>
  <si>
    <t>PP-B-15</t>
  </si>
  <si>
    <t>PP-B-18</t>
  </si>
  <si>
    <t>PP-B-19</t>
  </si>
  <si>
    <t>重複無し</t>
    <rPh sb="0" eb="2">
      <t>チョウフク</t>
    </rPh>
    <rPh sb="2" eb="3">
      <t>ナ</t>
    </rPh>
    <phoneticPr fontId="6"/>
  </si>
  <si>
    <t>PP初級</t>
    <rPh sb="2" eb="4">
      <t>ショキュウ</t>
    </rPh>
    <phoneticPr fontId="6"/>
  </si>
  <si>
    <t>PP中級</t>
    <rPh sb="2" eb="4">
      <t>チュウキュウ</t>
    </rPh>
    <phoneticPr fontId="6"/>
  </si>
  <si>
    <t>ソロトワール</t>
    <phoneticPr fontId="6"/>
  </si>
  <si>
    <t>トゥーバトン</t>
    <phoneticPr fontId="6"/>
  </si>
  <si>
    <t>スリーバトン</t>
    <phoneticPr fontId="6"/>
  </si>
  <si>
    <t>ペア</t>
    <phoneticPr fontId="6"/>
  </si>
  <si>
    <t>ソロストラット</t>
    <phoneticPr fontId="6"/>
  </si>
  <si>
    <t>No</t>
    <phoneticPr fontId="6"/>
  </si>
  <si>
    <t>個コード</t>
    <rPh sb="0" eb="1">
      <t>コ</t>
    </rPh>
    <phoneticPr fontId="6"/>
  </si>
  <si>
    <t>ペアNo.</t>
    <phoneticPr fontId="4"/>
  </si>
  <si>
    <t>No.</t>
    <phoneticPr fontId="4"/>
  </si>
  <si>
    <t>ペアコード</t>
    <phoneticPr fontId="4"/>
  </si>
  <si>
    <t>1-1</t>
    <phoneticPr fontId="4"/>
  </si>
  <si>
    <t>1-2</t>
    <phoneticPr fontId="4"/>
  </si>
  <si>
    <t>2-1</t>
    <phoneticPr fontId="4"/>
  </si>
  <si>
    <t>2-2</t>
    <phoneticPr fontId="4"/>
  </si>
  <si>
    <t>3-1</t>
    <phoneticPr fontId="4"/>
  </si>
  <si>
    <t>3-2</t>
    <phoneticPr fontId="4"/>
  </si>
  <si>
    <t>4-1</t>
    <phoneticPr fontId="4"/>
  </si>
  <si>
    <t>4-2</t>
    <phoneticPr fontId="4"/>
  </si>
  <si>
    <t>5-1</t>
    <phoneticPr fontId="4"/>
  </si>
  <si>
    <t>5-2</t>
    <phoneticPr fontId="4"/>
  </si>
  <si>
    <t>6-1</t>
    <phoneticPr fontId="4"/>
  </si>
  <si>
    <t>6-2</t>
    <phoneticPr fontId="4"/>
  </si>
  <si>
    <t>7-1</t>
    <phoneticPr fontId="4"/>
  </si>
  <si>
    <t>7-2</t>
    <phoneticPr fontId="4"/>
  </si>
  <si>
    <t>8-1</t>
    <phoneticPr fontId="4"/>
  </si>
  <si>
    <t>8-2</t>
    <phoneticPr fontId="4"/>
  </si>
  <si>
    <t>9-1</t>
    <phoneticPr fontId="4"/>
  </si>
  <si>
    <t>9-2</t>
    <phoneticPr fontId="4"/>
  </si>
  <si>
    <t>10-1</t>
    <phoneticPr fontId="4"/>
  </si>
  <si>
    <t>10-2</t>
    <phoneticPr fontId="4"/>
  </si>
  <si>
    <t>11-1</t>
    <phoneticPr fontId="4"/>
  </si>
  <si>
    <t>11-2</t>
    <phoneticPr fontId="4"/>
  </si>
  <si>
    <t>12-1</t>
    <phoneticPr fontId="4"/>
  </si>
  <si>
    <t>12-2</t>
    <phoneticPr fontId="4"/>
  </si>
  <si>
    <t>13-1</t>
    <phoneticPr fontId="4"/>
  </si>
  <si>
    <t>13-2</t>
    <phoneticPr fontId="4"/>
  </si>
  <si>
    <t>14-1</t>
    <phoneticPr fontId="4"/>
  </si>
  <si>
    <t>14-2</t>
    <phoneticPr fontId="4"/>
  </si>
  <si>
    <t>15-1</t>
    <phoneticPr fontId="4"/>
  </si>
  <si>
    <t>15-2</t>
    <phoneticPr fontId="4"/>
  </si>
  <si>
    <t>16-1</t>
    <phoneticPr fontId="4"/>
  </si>
  <si>
    <t>16-2</t>
    <phoneticPr fontId="4"/>
  </si>
  <si>
    <t>17-1</t>
    <phoneticPr fontId="4"/>
  </si>
  <si>
    <t>17-2</t>
    <phoneticPr fontId="4"/>
  </si>
  <si>
    <t>18-1</t>
    <phoneticPr fontId="4"/>
  </si>
  <si>
    <t>18-2</t>
    <phoneticPr fontId="4"/>
  </si>
  <si>
    <t>19-1</t>
    <phoneticPr fontId="4"/>
  </si>
  <si>
    <t>19-2</t>
    <phoneticPr fontId="4"/>
  </si>
  <si>
    <t>20-1</t>
    <phoneticPr fontId="4"/>
  </si>
  <si>
    <t>20-2</t>
    <phoneticPr fontId="4"/>
  </si>
  <si>
    <t>21-1</t>
    <phoneticPr fontId="4"/>
  </si>
  <si>
    <t>21-2</t>
    <phoneticPr fontId="4"/>
  </si>
  <si>
    <t>22-1</t>
    <phoneticPr fontId="4"/>
  </si>
  <si>
    <t>22-2</t>
    <phoneticPr fontId="4"/>
  </si>
  <si>
    <t>23-1</t>
    <phoneticPr fontId="4"/>
  </si>
  <si>
    <t>23-2</t>
    <phoneticPr fontId="4"/>
  </si>
  <si>
    <t>24-1</t>
    <phoneticPr fontId="4"/>
  </si>
  <si>
    <t>24-2</t>
    <phoneticPr fontId="4"/>
  </si>
  <si>
    <t>25-1</t>
    <phoneticPr fontId="4"/>
  </si>
  <si>
    <t>25-2</t>
    <phoneticPr fontId="4"/>
  </si>
  <si>
    <t>26-1</t>
    <phoneticPr fontId="4"/>
  </si>
  <si>
    <t>26-2</t>
    <phoneticPr fontId="4"/>
  </si>
  <si>
    <t>27-1</t>
    <phoneticPr fontId="4"/>
  </si>
  <si>
    <t>27-2</t>
    <phoneticPr fontId="4"/>
  </si>
  <si>
    <t>28-1</t>
    <phoneticPr fontId="4"/>
  </si>
  <si>
    <t>28-2</t>
    <phoneticPr fontId="4"/>
  </si>
  <si>
    <t>29-1</t>
    <phoneticPr fontId="4"/>
  </si>
  <si>
    <t>29-2</t>
    <phoneticPr fontId="4"/>
  </si>
  <si>
    <t>30-1</t>
    <phoneticPr fontId="4"/>
  </si>
  <si>
    <t>30-2</t>
    <phoneticPr fontId="4"/>
  </si>
  <si>
    <t>＜規定演技＞</t>
    <rPh sb="1" eb="3">
      <t>キテイ</t>
    </rPh>
    <rPh sb="3" eb="5">
      <t>エンギ</t>
    </rPh>
    <phoneticPr fontId="4"/>
  </si>
  <si>
    <t>＜関東６種目＞</t>
    <rPh sb="1" eb="3">
      <t>カントウ</t>
    </rPh>
    <rPh sb="4" eb="6">
      <t>シュモク</t>
    </rPh>
    <phoneticPr fontId="4"/>
  </si>
  <si>
    <t>上級</t>
    <rPh sb="0" eb="2">
      <t>ジョウキュウ</t>
    </rPh>
    <phoneticPr fontId="6"/>
  </si>
  <si>
    <t>選手権</t>
    <rPh sb="0" eb="3">
      <t>センシュケン</t>
    </rPh>
    <phoneticPr fontId="6"/>
  </si>
  <si>
    <t>エントリー数合計</t>
    <rPh sb="5" eb="6">
      <t>スウ</t>
    </rPh>
    <rPh sb="6" eb="8">
      <t>ゴウケイ</t>
    </rPh>
    <phoneticPr fontId="4"/>
  </si>
  <si>
    <t>ダンストワール</t>
    <phoneticPr fontId="6"/>
  </si>
  <si>
    <t>ソロトワール</t>
    <phoneticPr fontId="4"/>
  </si>
  <si>
    <t>トゥーバトン</t>
    <phoneticPr fontId="4"/>
  </si>
  <si>
    <t>スリーバトン</t>
    <phoneticPr fontId="4"/>
  </si>
  <si>
    <t>オープン</t>
    <phoneticPr fontId="6"/>
  </si>
  <si>
    <t>選手権</t>
    <rPh sb="0" eb="3">
      <t>センシュケン</t>
    </rPh>
    <phoneticPr fontId="6"/>
  </si>
  <si>
    <t>規定</t>
    <rPh sb="0" eb="2">
      <t>キテイ</t>
    </rPh>
    <phoneticPr fontId="4"/>
  </si>
  <si>
    <t>6種目</t>
    <rPh sb="1" eb="3">
      <t>シュモク</t>
    </rPh>
    <phoneticPr fontId="6"/>
  </si>
  <si>
    <t>6種目ペア</t>
    <rPh sb="1" eb="3">
      <t>シュモク</t>
    </rPh>
    <phoneticPr fontId="6"/>
  </si>
  <si>
    <t>OP</t>
    <phoneticPr fontId="6"/>
  </si>
  <si>
    <t>OPペア</t>
    <phoneticPr fontId="6"/>
  </si>
  <si>
    <t>選ペア</t>
    <rPh sb="0" eb="1">
      <t>セン</t>
    </rPh>
    <phoneticPr fontId="4"/>
  </si>
  <si>
    <t>=SUM(IF(ISERROR(AL9:AP9),0,(AL9:AP9)))</t>
    <phoneticPr fontId="4"/>
  </si>
  <si>
    <t>全国共通規定演技</t>
    <rPh sb="0" eb="2">
      <t>ゼンコク</t>
    </rPh>
    <rPh sb="2" eb="4">
      <t>キョウツウ</t>
    </rPh>
    <rPh sb="4" eb="6">
      <t>キテイ</t>
    </rPh>
    <rPh sb="6" eb="8">
      <t>エンギ</t>
    </rPh>
    <phoneticPr fontId="4"/>
  </si>
  <si>
    <t>トゥーバトン</t>
    <phoneticPr fontId="4"/>
  </si>
  <si>
    <t>ダンストワール</t>
    <phoneticPr fontId="4"/>
  </si>
  <si>
    <t>ソロストラット</t>
    <phoneticPr fontId="4"/>
  </si>
  <si>
    <t>ペア</t>
    <phoneticPr fontId="4"/>
  </si>
  <si>
    <t>スリーバトン</t>
    <phoneticPr fontId="4"/>
  </si>
  <si>
    <t>関東オープン</t>
    <rPh sb="0" eb="2">
      <t>カントウ</t>
    </rPh>
    <phoneticPr fontId="6"/>
  </si>
  <si>
    <t>団体情報　入力欄</t>
    <rPh sb="0" eb="2">
      <t>ダンタイ</t>
    </rPh>
    <rPh sb="2" eb="4">
      <t>ジョウホウ</t>
    </rPh>
    <rPh sb="5" eb="7">
      <t>ニュウリョク</t>
    </rPh>
    <rPh sb="7" eb="8">
      <t>ラン</t>
    </rPh>
    <phoneticPr fontId="4"/>
  </si>
  <si>
    <t>★</t>
    <phoneticPr fontId="4"/>
  </si>
  <si>
    <t>下の事項を全て入力すること</t>
    <rPh sb="0" eb="1">
      <t>シタ</t>
    </rPh>
    <rPh sb="2" eb="4">
      <t>ジコウ</t>
    </rPh>
    <rPh sb="5" eb="6">
      <t>スベ</t>
    </rPh>
    <rPh sb="7" eb="9">
      <t>ニュウリョク</t>
    </rPh>
    <phoneticPr fontId="4"/>
  </si>
  <si>
    <t>所属都県</t>
    <rPh sb="0" eb="2">
      <t>ショゾク</t>
    </rPh>
    <rPh sb="2" eb="4">
      <t>トケン</t>
    </rPh>
    <phoneticPr fontId="4"/>
  </si>
  <si>
    <t>団体ID</t>
    <rPh sb="0" eb="2">
      <t>ダンタイ</t>
    </rPh>
    <phoneticPr fontId="4"/>
  </si>
  <si>
    <t>←申請中の場合は、『申請中』と入力</t>
    <rPh sb="1" eb="4">
      <t>シンセイチュウ</t>
    </rPh>
    <rPh sb="5" eb="7">
      <t>バアイ</t>
    </rPh>
    <rPh sb="10" eb="13">
      <t>シンセイチュウ</t>
    </rPh>
    <rPh sb="15" eb="17">
      <t>ニュウリョク</t>
    </rPh>
    <phoneticPr fontId="4"/>
  </si>
  <si>
    <t>団体代表者</t>
    <rPh sb="0" eb="2">
      <t>ダンタイ</t>
    </rPh>
    <rPh sb="2" eb="5">
      <t>ダイヒョウシャ</t>
    </rPh>
    <phoneticPr fontId="4"/>
  </si>
  <si>
    <t>〒</t>
    <phoneticPr fontId="4"/>
  </si>
  <si>
    <t>住所</t>
    <rPh sb="0" eb="2">
      <t>ジュウショ</t>
    </rPh>
    <phoneticPr fontId="4"/>
  </si>
  <si>
    <t>ＴＥＬ</t>
    <phoneticPr fontId="4"/>
  </si>
  <si>
    <t>ＦＡＸ</t>
    <phoneticPr fontId="4"/>
  </si>
  <si>
    <t>送付者名</t>
    <rPh sb="0" eb="2">
      <t>ソウフ</t>
    </rPh>
    <rPh sb="2" eb="3">
      <t>シャ</t>
    </rPh>
    <rPh sb="3" eb="4">
      <t>メイ</t>
    </rPh>
    <phoneticPr fontId="4"/>
  </si>
  <si>
    <t>～入力の仕方～</t>
    <rPh sb="1" eb="3">
      <t>ニュウリョク</t>
    </rPh>
    <rPh sb="4" eb="6">
      <t>シカタ</t>
    </rPh>
    <phoneticPr fontId="4"/>
  </si>
  <si>
    <t>入力欄以外には入力出来ません。</t>
  </si>
  <si>
    <t>①</t>
    <phoneticPr fontId="4"/>
  </si>
  <si>
    <t>団体情報入力欄を入力してください。</t>
    <rPh sb="0" eb="4">
      <t>ダンタイジョウホウ</t>
    </rPh>
    <rPh sb="4" eb="6">
      <t>ニュウリョク</t>
    </rPh>
    <rPh sb="6" eb="7">
      <t>ラン</t>
    </rPh>
    <rPh sb="8" eb="10">
      <t>ニュウリョク</t>
    </rPh>
    <phoneticPr fontId="3"/>
  </si>
  <si>
    <t>申し込む種目を▼から選ぶ</t>
    <rPh sb="0" eb="1">
      <t>モウ</t>
    </rPh>
    <rPh sb="2" eb="3">
      <t>コ</t>
    </rPh>
    <rPh sb="4" eb="6">
      <t>シュモク</t>
    </rPh>
    <rPh sb="10" eb="11">
      <t>エラ</t>
    </rPh>
    <phoneticPr fontId="4"/>
  </si>
  <si>
    <t>★</t>
    <phoneticPr fontId="4"/>
  </si>
  <si>
    <t>セルの入力を消すときは、「ＤＥＬETE」か「ＢＡＣＫ　ＳＰＡＣＥ」を押してください。</t>
    <rPh sb="3" eb="5">
      <t>ニュウリョク</t>
    </rPh>
    <rPh sb="6" eb="7">
      <t>ケ</t>
    </rPh>
    <rPh sb="34" eb="35">
      <t>オ</t>
    </rPh>
    <phoneticPr fontId="4"/>
  </si>
  <si>
    <t>エントリー別人数表＆参加費申込書を必ず確認して、参加費をお支払いください。</t>
    <rPh sb="5" eb="6">
      <t>ベツ</t>
    </rPh>
    <rPh sb="6" eb="8">
      <t>ニンズウ</t>
    </rPh>
    <rPh sb="8" eb="9">
      <t>ヒョウ</t>
    </rPh>
    <rPh sb="10" eb="12">
      <t>サンカ</t>
    </rPh>
    <rPh sb="12" eb="13">
      <t>ヒ</t>
    </rPh>
    <rPh sb="13" eb="16">
      <t>モウシコミショ</t>
    </rPh>
    <rPh sb="17" eb="18">
      <t>カナラ</t>
    </rPh>
    <rPh sb="19" eb="21">
      <t>カクニン</t>
    </rPh>
    <rPh sb="24" eb="27">
      <t>サンカヒ</t>
    </rPh>
    <rPh sb="29" eb="31">
      <t>シハラ</t>
    </rPh>
    <phoneticPr fontId="4"/>
  </si>
  <si>
    <t>入力欄が足りない場合は、シートやセルを足したりせずに、新しい申込書に入力してください。</t>
    <rPh sb="0" eb="2">
      <t>ニュウリョク</t>
    </rPh>
    <rPh sb="2" eb="3">
      <t>ラン</t>
    </rPh>
    <rPh sb="4" eb="5">
      <t>タ</t>
    </rPh>
    <rPh sb="8" eb="10">
      <t>バアイ</t>
    </rPh>
    <rPh sb="19" eb="20">
      <t>タ</t>
    </rPh>
    <rPh sb="27" eb="28">
      <t>アタラ</t>
    </rPh>
    <rPh sb="30" eb="33">
      <t>モウシコミショ</t>
    </rPh>
    <rPh sb="34" eb="36">
      <t>ニュウリョク</t>
    </rPh>
    <phoneticPr fontId="4"/>
  </si>
  <si>
    <t>保存時に、ファイル名に団体名を追加し、選択肢が出てきたものは、『続行』・『はい』を選択してください。</t>
    <rPh sb="0" eb="2">
      <t>ホゾン</t>
    </rPh>
    <rPh sb="2" eb="3">
      <t>ジ</t>
    </rPh>
    <rPh sb="9" eb="10">
      <t>メイ</t>
    </rPh>
    <rPh sb="11" eb="13">
      <t>ダンタイ</t>
    </rPh>
    <rPh sb="13" eb="14">
      <t>メイ</t>
    </rPh>
    <rPh sb="15" eb="17">
      <t>ツイカ</t>
    </rPh>
    <rPh sb="19" eb="22">
      <t>センタクシ</t>
    </rPh>
    <rPh sb="23" eb="24">
      <t>デ</t>
    </rPh>
    <rPh sb="32" eb="34">
      <t>ゾッコウ</t>
    </rPh>
    <rPh sb="41" eb="43">
      <t>センタク</t>
    </rPh>
    <phoneticPr fontId="4"/>
  </si>
  <si>
    <t>◎</t>
    <phoneticPr fontId="4"/>
  </si>
  <si>
    <t>質問は、メールにてお願いいたします。（大会事務局アドレス等は実施要項に記載されています）</t>
    <rPh sb="0" eb="2">
      <t>シツモン</t>
    </rPh>
    <rPh sb="10" eb="11">
      <t>ネガ</t>
    </rPh>
    <rPh sb="19" eb="21">
      <t>タイカイ</t>
    </rPh>
    <rPh sb="21" eb="24">
      <t>ジムキョク</t>
    </rPh>
    <rPh sb="28" eb="29">
      <t>トウ</t>
    </rPh>
    <rPh sb="30" eb="32">
      <t>ジッシ</t>
    </rPh>
    <rPh sb="32" eb="34">
      <t>ヨウコウ</t>
    </rPh>
    <rPh sb="35" eb="37">
      <t>キサイ</t>
    </rPh>
    <phoneticPr fontId="4"/>
  </si>
  <si>
    <t>団体情報欄に入力されたアドレスへセット番号表等の一次発信・二次発信の連絡メールを配信します。</t>
    <rPh sb="0" eb="2">
      <t>ダンタイ</t>
    </rPh>
    <rPh sb="2" eb="4">
      <t>ジョウホウ</t>
    </rPh>
    <rPh sb="4" eb="5">
      <t>ラン</t>
    </rPh>
    <rPh sb="6" eb="8">
      <t>ニュウリョク</t>
    </rPh>
    <rPh sb="19" eb="21">
      <t>バンゴウ</t>
    </rPh>
    <rPh sb="21" eb="22">
      <t>ヒョウ</t>
    </rPh>
    <rPh sb="22" eb="23">
      <t>トウ</t>
    </rPh>
    <rPh sb="24" eb="26">
      <t>イチジ</t>
    </rPh>
    <rPh sb="26" eb="28">
      <t>ハッシン</t>
    </rPh>
    <rPh sb="29" eb="31">
      <t>ニジ</t>
    </rPh>
    <rPh sb="31" eb="33">
      <t>ハッシン</t>
    </rPh>
    <rPh sb="34" eb="36">
      <t>レンラク</t>
    </rPh>
    <rPh sb="40" eb="42">
      <t>ハイシン</t>
    </rPh>
    <phoneticPr fontId="4"/>
  </si>
  <si>
    <t>〆切に関しては送信の時にお知らせいたします。</t>
    <phoneticPr fontId="4"/>
  </si>
  <si>
    <t>以上宜しくお願い致します。</t>
    <phoneticPr fontId="4"/>
  </si>
  <si>
    <t>大会連絡責任者</t>
    <rPh sb="0" eb="2">
      <t>タイカイ</t>
    </rPh>
    <rPh sb="2" eb="4">
      <t>レンラク</t>
    </rPh>
    <rPh sb="4" eb="6">
      <t>セキニン</t>
    </rPh>
    <rPh sb="6" eb="7">
      <t>シャ</t>
    </rPh>
    <phoneticPr fontId="4"/>
  </si>
  <si>
    <t>大会連絡責任者
携帯番号</t>
    <rPh sb="0" eb="2">
      <t>タイカイ</t>
    </rPh>
    <rPh sb="2" eb="4">
      <t>レンラク</t>
    </rPh>
    <rPh sb="4" eb="7">
      <t>セキニンシャ</t>
    </rPh>
    <rPh sb="8" eb="10">
      <t>ケイタイ</t>
    </rPh>
    <rPh sb="10" eb="12">
      <t>バンゴウ</t>
    </rPh>
    <phoneticPr fontId="4"/>
  </si>
  <si>
    <t>申し込み選手の情報は、入力シートの該当種目に入力してください。</t>
    <rPh sb="0" eb="1">
      <t>モウ</t>
    </rPh>
    <rPh sb="2" eb="3">
      <t>コ</t>
    </rPh>
    <rPh sb="4" eb="6">
      <t>センシュ</t>
    </rPh>
    <rPh sb="7" eb="9">
      <t>ジョウホウ</t>
    </rPh>
    <rPh sb="11" eb="13">
      <t>ニュウリョク</t>
    </rPh>
    <rPh sb="17" eb="19">
      <t>ガイトウ</t>
    </rPh>
    <rPh sb="19" eb="21">
      <t>シュモク</t>
    </rPh>
    <rPh sb="22" eb="24">
      <t>ニュウリョク</t>
    </rPh>
    <phoneticPr fontId="4"/>
  </si>
  <si>
    <t>入力シートに入力したもののみが、エントリー別人数表に反映されるため、漏れの無いよう注意してください。</t>
    <rPh sb="0" eb="2">
      <t>ニュウリョク</t>
    </rPh>
    <rPh sb="6" eb="8">
      <t>ニュウリョク</t>
    </rPh>
    <rPh sb="21" eb="25">
      <t>ベツニンズウヒョウ</t>
    </rPh>
    <rPh sb="26" eb="28">
      <t>ハンエイ</t>
    </rPh>
    <rPh sb="34" eb="35">
      <t>モ</t>
    </rPh>
    <rPh sb="37" eb="38">
      <t>ナ</t>
    </rPh>
    <rPh sb="41" eb="43">
      <t>チュウイ</t>
    </rPh>
    <phoneticPr fontId="4"/>
  </si>
  <si>
    <t>その際、２行目の名前欄に『重複』と入力してください。自動で赤字になり、Ｎｏ．の反映はされません。</t>
    <rPh sb="2" eb="3">
      <t>サイ</t>
    </rPh>
    <rPh sb="5" eb="7">
      <t>ギョウメ</t>
    </rPh>
    <rPh sb="8" eb="10">
      <t>ナマエ</t>
    </rPh>
    <rPh sb="10" eb="11">
      <t>ラン</t>
    </rPh>
    <rPh sb="13" eb="15">
      <t>チョウフク</t>
    </rPh>
    <rPh sb="17" eb="19">
      <t>ニュウリョク</t>
    </rPh>
    <rPh sb="26" eb="28">
      <t>ジドウ</t>
    </rPh>
    <rPh sb="29" eb="31">
      <t>アカジ</t>
    </rPh>
    <rPh sb="39" eb="41">
      <t>ハンエイ</t>
    </rPh>
    <phoneticPr fontId="4"/>
  </si>
  <si>
    <t>ペア１組目の１人目を1-1、２人目は1-2と入力して下さい。２組目の１人目は2-1、２人目は2-2とする。</t>
    <rPh sb="3" eb="4">
      <t>クミ</t>
    </rPh>
    <rPh sb="4" eb="5">
      <t>メ</t>
    </rPh>
    <rPh sb="31" eb="32">
      <t>クミ</t>
    </rPh>
    <rPh sb="32" eb="33">
      <t>メ</t>
    </rPh>
    <rPh sb="35" eb="36">
      <t>ニン</t>
    </rPh>
    <rPh sb="36" eb="37">
      <t>メ</t>
    </rPh>
    <rPh sb="43" eb="44">
      <t>ニン</t>
    </rPh>
    <rPh sb="44" eb="45">
      <t>メ</t>
    </rPh>
    <phoneticPr fontId="4"/>
  </si>
  <si>
    <t>氏名・ふりがな・生年月日を入力してください。</t>
    <rPh sb="0" eb="2">
      <t>シメイ</t>
    </rPh>
    <rPh sb="8" eb="10">
      <t>セイネン</t>
    </rPh>
    <rPh sb="10" eb="12">
      <t>ガッピ</t>
    </rPh>
    <rPh sb="13" eb="15">
      <t>ニュウリョク</t>
    </rPh>
    <phoneticPr fontId="4"/>
  </si>
  <si>
    <t>フリガナ・男子・生年月日は空欄のままにしてください。</t>
    <rPh sb="5" eb="7">
      <t>ダンシ</t>
    </rPh>
    <rPh sb="8" eb="10">
      <t>セイネン</t>
    </rPh>
    <rPh sb="10" eb="12">
      <t>ガッピ</t>
    </rPh>
    <rPh sb="13" eb="15">
      <t>クウラン</t>
    </rPh>
    <phoneticPr fontId="6"/>
  </si>
  <si>
    <t>選手権に申し込む選手は、学校名・住所（都県・市区町村まで）を入力してください。オープンのみ申込みの場合は必要ありません。</t>
    <rPh sb="0" eb="3">
      <t>センシュケン</t>
    </rPh>
    <rPh sb="4" eb="5">
      <t>モウ</t>
    </rPh>
    <rPh sb="6" eb="7">
      <t>コ</t>
    </rPh>
    <rPh sb="8" eb="10">
      <t>センシュ</t>
    </rPh>
    <rPh sb="12" eb="14">
      <t>ガッコウ</t>
    </rPh>
    <rPh sb="14" eb="15">
      <t>メイ</t>
    </rPh>
    <rPh sb="16" eb="18">
      <t>ジュウショ</t>
    </rPh>
    <rPh sb="19" eb="21">
      <t>トケン</t>
    </rPh>
    <rPh sb="22" eb="24">
      <t>シク</t>
    </rPh>
    <rPh sb="24" eb="26">
      <t>チョウソン</t>
    </rPh>
    <rPh sb="30" eb="32">
      <t>ニュウリョク</t>
    </rPh>
    <rPh sb="45" eb="47">
      <t>モウシコミ</t>
    </rPh>
    <rPh sb="49" eb="51">
      <t>バアイ</t>
    </rPh>
    <rPh sb="52" eb="54">
      <t>ヒツヨウ</t>
    </rPh>
    <phoneticPr fontId="4"/>
  </si>
  <si>
    <t>②</t>
    <phoneticPr fontId="6"/>
  </si>
  <si>
    <t>③</t>
    <phoneticPr fontId="4"/>
  </si>
  <si>
    <t>④</t>
    <phoneticPr fontId="4"/>
  </si>
  <si>
    <t>⑤</t>
    <phoneticPr fontId="4"/>
  </si>
  <si>
    <t>⑥</t>
    <phoneticPr fontId="4"/>
  </si>
  <si>
    <t>⑦</t>
    <phoneticPr fontId="4"/>
  </si>
  <si>
    <t>大会連絡
責任者氏名</t>
    <rPh sb="0" eb="2">
      <t>タイカイ</t>
    </rPh>
    <rPh sb="2" eb="4">
      <t>レンラク</t>
    </rPh>
    <rPh sb="5" eb="8">
      <t>セキニンシャ</t>
    </rPh>
    <rPh sb="8" eb="10">
      <t>シメイ</t>
    </rPh>
    <phoneticPr fontId="4"/>
  </si>
  <si>
    <t>大会連絡
責任者携帯番号</t>
    <rPh sb="0" eb="2">
      <t>タイカイ</t>
    </rPh>
    <rPh sb="2" eb="4">
      <t>レンラク</t>
    </rPh>
    <rPh sb="5" eb="8">
      <t>セキニンシャ</t>
    </rPh>
    <rPh sb="8" eb="10">
      <t>ケイタイ</t>
    </rPh>
    <rPh sb="10" eb="12">
      <t>バンゴウ</t>
    </rPh>
    <phoneticPr fontId="4"/>
  </si>
  <si>
    <t>スリーバトン</t>
    <phoneticPr fontId="4"/>
  </si>
  <si>
    <t>ソロトワール</t>
    <phoneticPr fontId="6"/>
  </si>
  <si>
    <t>１人１行とします。⑥の場合は、複数行を使用してください。</t>
    <rPh sb="1" eb="2">
      <t>ニン</t>
    </rPh>
    <rPh sb="3" eb="4">
      <t>ギョウ</t>
    </rPh>
    <rPh sb="11" eb="13">
      <t>バアイ</t>
    </rPh>
    <rPh sb="15" eb="18">
      <t>フクスウギョウ</t>
    </rPh>
    <rPh sb="19" eb="21">
      <t>シヨウ</t>
    </rPh>
    <phoneticPr fontId="6"/>
  </si>
  <si>
    <t>団体ＩＤ下3桁</t>
    <rPh sb="0" eb="2">
      <t>ダンタイ</t>
    </rPh>
    <rPh sb="4" eb="5">
      <t>シモ</t>
    </rPh>
    <rPh sb="6" eb="7">
      <t>ケタ</t>
    </rPh>
    <phoneticPr fontId="4"/>
  </si>
  <si>
    <t>団体番号</t>
    <rPh sb="0" eb="2">
      <t>ダンタイ</t>
    </rPh>
    <rPh sb="2" eb="4">
      <t>バンゴウ</t>
    </rPh>
    <phoneticPr fontId="4"/>
  </si>
  <si>
    <t>ＮＯ．</t>
    <phoneticPr fontId="4"/>
  </si>
  <si>
    <t>男性選手は『男子』の欄で▼から男子を選んでください。</t>
    <rPh sb="0" eb="2">
      <t>ダンセイ</t>
    </rPh>
    <rPh sb="2" eb="4">
      <t>センシュ</t>
    </rPh>
    <rPh sb="6" eb="8">
      <t>ダンシ</t>
    </rPh>
    <rPh sb="10" eb="11">
      <t>ラン</t>
    </rPh>
    <rPh sb="15" eb="17">
      <t>ダンシ</t>
    </rPh>
    <rPh sb="18" eb="19">
      <t>エラ</t>
    </rPh>
    <phoneticPr fontId="4"/>
  </si>
  <si>
    <t>申込書の受付連絡はいたしませんので、受付確認をしたい方は、メールの開封確認を設定するなどしてください。</t>
    <rPh sb="0" eb="2">
      <t>モウシコミ</t>
    </rPh>
    <rPh sb="2" eb="3">
      <t>ショ</t>
    </rPh>
    <rPh sb="4" eb="6">
      <t>ウケツケ</t>
    </rPh>
    <rPh sb="6" eb="8">
      <t>レンラク</t>
    </rPh>
    <rPh sb="18" eb="20">
      <t>ウケツケ</t>
    </rPh>
    <rPh sb="20" eb="22">
      <t>カクニン</t>
    </rPh>
    <rPh sb="26" eb="27">
      <t>カタ</t>
    </rPh>
    <rPh sb="33" eb="35">
      <t>カイフウ</t>
    </rPh>
    <rPh sb="35" eb="37">
      <t>カクニン</t>
    </rPh>
    <rPh sb="38" eb="40">
      <t>セッテイ</t>
    </rPh>
    <phoneticPr fontId="6"/>
  </si>
  <si>
    <t>選手権</t>
    <rPh sb="0" eb="3">
      <t>センシュケン</t>
    </rPh>
    <phoneticPr fontId="6"/>
  </si>
  <si>
    <t>1-1</t>
    <phoneticPr fontId="6"/>
  </si>
  <si>
    <t>1-2</t>
    <phoneticPr fontId="6"/>
  </si>
  <si>
    <t>反映コード</t>
    <rPh sb="0" eb="2">
      <t>ハンエイ</t>
    </rPh>
    <phoneticPr fontId="3"/>
  </si>
  <si>
    <t>種目</t>
    <rPh sb="0" eb="2">
      <t>シュモク</t>
    </rPh>
    <phoneticPr fontId="3"/>
  </si>
  <si>
    <t>区分</t>
    <rPh sb="0" eb="2">
      <t>クブン</t>
    </rPh>
    <phoneticPr fontId="4"/>
  </si>
  <si>
    <t>６種目</t>
    <rPh sb="1" eb="3">
      <t>シュモク</t>
    </rPh>
    <phoneticPr fontId="4"/>
  </si>
  <si>
    <t>オープン</t>
    <phoneticPr fontId="4"/>
  </si>
  <si>
    <t>選手権複数種目</t>
    <rPh sb="0" eb="3">
      <t>センシュケン</t>
    </rPh>
    <rPh sb="3" eb="5">
      <t>フクスウ</t>
    </rPh>
    <rPh sb="5" eb="7">
      <t>シュモク</t>
    </rPh>
    <phoneticPr fontId="4"/>
  </si>
  <si>
    <t>＜オープン＞</t>
    <phoneticPr fontId="4"/>
  </si>
  <si>
    <t>＜選手権＞</t>
    <rPh sb="1" eb="4">
      <t>センシュケン</t>
    </rPh>
    <phoneticPr fontId="4"/>
  </si>
  <si>
    <t>ふりがな</t>
    <phoneticPr fontId="4"/>
  </si>
  <si>
    <t>生年月日は半角で「例：1900/1/1」の様に入力してください。自動で「1900年1月1日」と表示されます。</t>
    <rPh sb="0" eb="2">
      <t>セイネン</t>
    </rPh>
    <rPh sb="2" eb="4">
      <t>ガッピ</t>
    </rPh>
    <rPh sb="5" eb="7">
      <t>ハンカク</t>
    </rPh>
    <rPh sb="9" eb="10">
      <t>レイ</t>
    </rPh>
    <rPh sb="21" eb="22">
      <t>ヨウ</t>
    </rPh>
    <rPh sb="23" eb="25">
      <t>ニュウリョク</t>
    </rPh>
    <rPh sb="32" eb="34">
      <t>ジドウ</t>
    </rPh>
    <rPh sb="40" eb="41">
      <t>ネン</t>
    </rPh>
    <rPh sb="42" eb="43">
      <t>ガツ</t>
    </rPh>
    <rPh sb="44" eb="45">
      <t>ニチ</t>
    </rPh>
    <rPh sb="47" eb="49">
      <t>ヒョウジ</t>
    </rPh>
    <phoneticPr fontId="6"/>
  </si>
  <si>
    <t>S-N-12</t>
    <phoneticPr fontId="4"/>
  </si>
  <si>
    <t>S-N-15</t>
    <phoneticPr fontId="4"/>
  </si>
  <si>
    <t>S-N-18</t>
    <phoneticPr fontId="4"/>
  </si>
  <si>
    <t>S-N-19</t>
  </si>
  <si>
    <t>S-B-12</t>
  </si>
  <si>
    <t>S-B-15</t>
  </si>
  <si>
    <t>S-B-18</t>
  </si>
  <si>
    <t>S-B-19</t>
  </si>
  <si>
    <t>S-I-12</t>
  </si>
  <si>
    <t>S-I-15</t>
  </si>
  <si>
    <t>S-I-18</t>
  </si>
  <si>
    <t>S-I-19</t>
  </si>
  <si>
    <t>S-A-12</t>
  </si>
  <si>
    <t>S-A-15</t>
  </si>
  <si>
    <t>S-A-18</t>
  </si>
  <si>
    <t>S-A-19</t>
  </si>
  <si>
    <t>2B-B-12</t>
  </si>
  <si>
    <t>2B-I-12</t>
  </si>
  <si>
    <t>2B-A-12</t>
  </si>
  <si>
    <t>2B-B-15</t>
  </si>
  <si>
    <t>2B-I-15</t>
  </si>
  <si>
    <t>2B-A-15</t>
  </si>
  <si>
    <t>2B-B-18</t>
  </si>
  <si>
    <t>2B-I-18</t>
  </si>
  <si>
    <t>2B-A-18</t>
  </si>
  <si>
    <t>2B-B-19</t>
  </si>
  <si>
    <t>2B-I-19</t>
  </si>
  <si>
    <t>2B-A-19</t>
  </si>
  <si>
    <t>3B-B-12</t>
  </si>
  <si>
    <t>3B-A-12</t>
  </si>
  <si>
    <t>3B-B-15</t>
  </si>
  <si>
    <t>3B-A-15</t>
  </si>
  <si>
    <t>3B-B-18</t>
  </si>
  <si>
    <t>3B-A-18</t>
  </si>
  <si>
    <t>3B-B-19</t>
  </si>
  <si>
    <t>3B-A-19</t>
  </si>
  <si>
    <t>P-B-12</t>
  </si>
  <si>
    <t>P-I-12</t>
  </si>
  <si>
    <t>P-A-12</t>
  </si>
  <si>
    <t>P-B-15</t>
  </si>
  <si>
    <t>P-I-15</t>
  </si>
  <si>
    <t>P-A-15</t>
  </si>
  <si>
    <t>P-B-18</t>
  </si>
  <si>
    <t>P-I-18</t>
  </si>
  <si>
    <t>P-A-18</t>
  </si>
  <si>
    <t>P-B-19</t>
  </si>
  <si>
    <t>P-I-19</t>
  </si>
  <si>
    <t>P-A-19</t>
  </si>
  <si>
    <t>SS-B-12</t>
  </si>
  <si>
    <t>SS-I-12</t>
  </si>
  <si>
    <t>SS-A-12</t>
  </si>
  <si>
    <t>SS-B-15</t>
  </si>
  <si>
    <t>SS-I-15</t>
  </si>
  <si>
    <t>SS-A-15</t>
  </si>
  <si>
    <t>SS-B-18</t>
  </si>
  <si>
    <t>SS-I-18</t>
  </si>
  <si>
    <t>SS-A-18</t>
  </si>
  <si>
    <t>SS-B-19</t>
  </si>
  <si>
    <t>SS-I-19</t>
  </si>
  <si>
    <t>SS-A-19</t>
  </si>
  <si>
    <t>D-B-12</t>
  </si>
  <si>
    <t>D-I-12</t>
  </si>
  <si>
    <t>D-A-12</t>
  </si>
  <si>
    <t>D-B-15</t>
  </si>
  <si>
    <t>D-I-15</t>
  </si>
  <si>
    <t>D-A-15</t>
  </si>
  <si>
    <t>D-B-18</t>
  </si>
  <si>
    <t>D-I-18</t>
  </si>
  <si>
    <t>D-A-18</t>
  </si>
  <si>
    <t>D-B-19</t>
  </si>
  <si>
    <t>D-I-19</t>
  </si>
  <si>
    <t>D-A-19</t>
  </si>
  <si>
    <t>シクミネットにて構成員管理費を支払い後、シクミネット団体管理メニューより「団体情報」と「所属会員一覧」をPDF添付、またはFAX、郵送にて提出してください。</t>
    <rPh sb="69" eb="71">
      <t>テイシュツ</t>
    </rPh>
    <phoneticPr fontId="6"/>
  </si>
  <si>
    <t>年齢区分</t>
    <rPh sb="0" eb="2">
      <t>ネンレイ</t>
    </rPh>
    <rPh sb="2" eb="4">
      <t>クブン</t>
    </rPh>
    <phoneticPr fontId="3"/>
  </si>
  <si>
    <r>
      <t xml:space="preserve">対象
年齢
</t>
    </r>
    <r>
      <rPr>
        <sz val="10"/>
        <color theme="1"/>
        <rFont val="ＭＳ Ｐゴシック"/>
        <family val="3"/>
        <charset val="128"/>
        <scheme val="minor"/>
      </rPr>
      <t>(学年)</t>
    </r>
    <rPh sb="0" eb="2">
      <t>タイショウ</t>
    </rPh>
    <rPh sb="3" eb="5">
      <t>ネンレイ</t>
    </rPh>
    <rPh sb="7" eb="9">
      <t>ガクネン</t>
    </rPh>
    <phoneticPr fontId="6"/>
  </si>
  <si>
    <t>選手権</t>
    <rPh sb="0" eb="3">
      <t>センシュケン</t>
    </rPh>
    <phoneticPr fontId="6"/>
  </si>
  <si>
    <t>R-N-6</t>
  </si>
  <si>
    <t>R-N-9</t>
  </si>
  <si>
    <t>R-N-12</t>
  </si>
  <si>
    <t>R-N-15</t>
  </si>
  <si>
    <t>R-N-18</t>
  </si>
  <si>
    <t>R-N-19</t>
  </si>
  <si>
    <t>男子</t>
    <rPh sb="0" eb="2">
      <t>ダンシ</t>
    </rPh>
    <phoneticPr fontId="4"/>
  </si>
  <si>
    <t>S-N-12</t>
  </si>
  <si>
    <t>S-N-15</t>
  </si>
  <si>
    <t>S-N-18</t>
  </si>
  <si>
    <t>全国共通規定演技において、同じ級を両日申し込む場合は、複数行を使い入力してください。</t>
    <rPh sb="0" eb="2">
      <t>ゼンコク</t>
    </rPh>
    <rPh sb="2" eb="4">
      <t>キョウツウ</t>
    </rPh>
    <rPh sb="4" eb="6">
      <t>キテイ</t>
    </rPh>
    <rPh sb="6" eb="8">
      <t>エンギ</t>
    </rPh>
    <rPh sb="13" eb="14">
      <t>オナ</t>
    </rPh>
    <rPh sb="15" eb="16">
      <t>キュウ</t>
    </rPh>
    <rPh sb="17" eb="19">
      <t>リョウジツ</t>
    </rPh>
    <rPh sb="19" eb="20">
      <t>モウ</t>
    </rPh>
    <rPh sb="21" eb="22">
      <t>コ</t>
    </rPh>
    <rPh sb="23" eb="25">
      <t>バアイ</t>
    </rPh>
    <rPh sb="27" eb="30">
      <t>フクスウギョウ</t>
    </rPh>
    <rPh sb="31" eb="32">
      <t>ツカ</t>
    </rPh>
    <rPh sb="33" eb="35">
      <t>ニュウリョク</t>
    </rPh>
    <phoneticPr fontId="6"/>
  </si>
  <si>
    <t>本No.</t>
    <rPh sb="0" eb="1">
      <t>ホン</t>
    </rPh>
    <phoneticPr fontId="4"/>
  </si>
  <si>
    <t>映像二次使用について</t>
    <rPh sb="0" eb="2">
      <t>エイゾウ</t>
    </rPh>
    <rPh sb="2" eb="4">
      <t>ニジ</t>
    </rPh>
    <rPh sb="4" eb="6">
      <t>シヨウ</t>
    </rPh>
    <phoneticPr fontId="6"/>
  </si>
  <si>
    <t>PP-I-6</t>
  </si>
  <si>
    <t>PP-I-9</t>
  </si>
  <si>
    <t>PP-I-12</t>
  </si>
  <si>
    <t>PP-I-15</t>
  </si>
  <si>
    <t>PP-I-18</t>
  </si>
  <si>
    <t>PP-I-19</t>
  </si>
  <si>
    <t>登録〒</t>
    <rPh sb="0" eb="2">
      <t>トウロク</t>
    </rPh>
    <phoneticPr fontId="4"/>
  </si>
  <si>
    <t>登録住所</t>
    <rPh sb="0" eb="2">
      <t>トウロク</t>
    </rPh>
    <rPh sb="2" eb="4">
      <t>ジュウショ</t>
    </rPh>
    <phoneticPr fontId="4"/>
  </si>
  <si>
    <t>20日</t>
    <rPh sb="2" eb="3">
      <t>ニチ</t>
    </rPh>
    <phoneticPr fontId="6"/>
  </si>
  <si>
    <t>規　PP初級</t>
    <rPh sb="0" eb="1">
      <t>キ</t>
    </rPh>
    <rPh sb="4" eb="6">
      <t>ショキュウ</t>
    </rPh>
    <phoneticPr fontId="3"/>
  </si>
  <si>
    <t>規　PP中級</t>
    <rPh sb="0" eb="1">
      <t>キ</t>
    </rPh>
    <rPh sb="4" eb="6">
      <t>チュウキュウ</t>
    </rPh>
    <phoneticPr fontId="3"/>
  </si>
  <si>
    <t>スリーバトン女子</t>
    <rPh sb="6" eb="8">
      <t>ジョシ</t>
    </rPh>
    <phoneticPr fontId="3"/>
  </si>
  <si>
    <t>ペア</t>
    <phoneticPr fontId="3"/>
  </si>
  <si>
    <t>ダンストワール</t>
    <phoneticPr fontId="3"/>
  </si>
  <si>
    <t>シリアル値</t>
    <rPh sb="4" eb="5">
      <t>チ</t>
    </rPh>
    <phoneticPr fontId="3"/>
  </si>
  <si>
    <t>割当数字</t>
    <rPh sb="0" eb="2">
      <t>ワリアテ</t>
    </rPh>
    <rPh sb="2" eb="4">
      <t>スウジ</t>
    </rPh>
    <phoneticPr fontId="46"/>
  </si>
  <si>
    <t>UJr</t>
    <phoneticPr fontId="3"/>
  </si>
  <si>
    <t>～</t>
    <phoneticPr fontId="3"/>
  </si>
  <si>
    <t>JrⅠ</t>
    <phoneticPr fontId="3"/>
  </si>
  <si>
    <t>JrⅡ</t>
    <phoneticPr fontId="3"/>
  </si>
  <si>
    <t>女子SrⅠ</t>
    <rPh sb="0" eb="2">
      <t>ジョシ</t>
    </rPh>
    <phoneticPr fontId="3"/>
  </si>
  <si>
    <t>男子Sr</t>
    <rPh sb="0" eb="2">
      <t>ダンシ</t>
    </rPh>
    <phoneticPr fontId="3"/>
  </si>
  <si>
    <t>SrⅠ</t>
    <phoneticPr fontId="3"/>
  </si>
  <si>
    <t>女子SrⅡ</t>
    <rPh sb="0" eb="2">
      <t>ジョシ</t>
    </rPh>
    <phoneticPr fontId="3"/>
  </si>
  <si>
    <t>SrⅡ</t>
    <phoneticPr fontId="3"/>
  </si>
  <si>
    <t>S-OP-Sr2</t>
  </si>
  <si>
    <t>2B-OP-Sr2</t>
  </si>
  <si>
    <t>3B-OP-Sr2</t>
  </si>
  <si>
    <t>P-OP-Sr2</t>
  </si>
  <si>
    <t>SS-OP-Sr2</t>
  </si>
  <si>
    <t>D-OP-Sr2</t>
  </si>
  <si>
    <t>入門</t>
    <rPh sb="0" eb="2">
      <t>ニュウモン</t>
    </rPh>
    <phoneticPr fontId="4"/>
  </si>
  <si>
    <t>初級</t>
    <rPh sb="0" eb="2">
      <t>ショキュウ</t>
    </rPh>
    <phoneticPr fontId="4"/>
  </si>
  <si>
    <t>中級</t>
    <rPh sb="0" eb="2">
      <t>チュウキュウ</t>
    </rPh>
    <phoneticPr fontId="4"/>
  </si>
  <si>
    <t>上級</t>
    <rPh sb="0" eb="2">
      <t>ジョウキュウ</t>
    </rPh>
    <phoneticPr fontId="4"/>
  </si>
  <si>
    <t>規定</t>
    <rPh sb="0" eb="2">
      <t>キテイ</t>
    </rPh>
    <phoneticPr fontId="4"/>
  </si>
  <si>
    <t>選手権</t>
    <rPh sb="0" eb="3">
      <t>センシュケン</t>
    </rPh>
    <phoneticPr fontId="4"/>
  </si>
  <si>
    <t>オープン</t>
    <phoneticPr fontId="4"/>
  </si>
  <si>
    <t>キンダ―</t>
    <phoneticPr fontId="4"/>
  </si>
  <si>
    <t>ソロトワール</t>
    <phoneticPr fontId="4"/>
  </si>
  <si>
    <t>トゥーバトン</t>
    <phoneticPr fontId="4"/>
  </si>
  <si>
    <t>スリーバトン</t>
    <phoneticPr fontId="4"/>
  </si>
  <si>
    <t>ソロストラット</t>
    <phoneticPr fontId="4"/>
  </si>
  <si>
    <t>ダンストワール</t>
    <phoneticPr fontId="4"/>
  </si>
  <si>
    <t>参加費</t>
    <rPh sb="0" eb="3">
      <t>サンカヒ</t>
    </rPh>
    <phoneticPr fontId="4"/>
  </si>
  <si>
    <t>性別区分無し</t>
    <rPh sb="0" eb="2">
      <t>セイベツ</t>
    </rPh>
    <rPh sb="2" eb="4">
      <t>クブン</t>
    </rPh>
    <rPh sb="4" eb="5">
      <t>ナ</t>
    </rPh>
    <phoneticPr fontId="4"/>
  </si>
  <si>
    <t>ソロトワール</t>
    <phoneticPr fontId="3"/>
  </si>
  <si>
    <t>トゥーバトン</t>
    <phoneticPr fontId="3"/>
  </si>
  <si>
    <t>スリーバトン</t>
    <phoneticPr fontId="3"/>
  </si>
  <si>
    <t>S-C-Sr1</t>
  </si>
  <si>
    <t>2B-C-Sr1</t>
  </si>
  <si>
    <t>3B-C-Sr1</t>
  </si>
  <si>
    <t>P-C-Sr1</t>
  </si>
  <si>
    <t>SS-C-Sr1</t>
  </si>
  <si>
    <t>D-C-Sr1</t>
  </si>
  <si>
    <t>S-C-Sr2</t>
  </si>
  <si>
    <t>2B-C-Sr2</t>
  </si>
  <si>
    <t>3B-C-Sr2</t>
  </si>
  <si>
    <t>P-C-Sr2</t>
  </si>
  <si>
    <t>SS-C-Sr2</t>
  </si>
  <si>
    <t>D-C-Sr2</t>
  </si>
  <si>
    <t>MS-C-Sr</t>
  </si>
  <si>
    <t>M2B-C-Sr</t>
  </si>
  <si>
    <t>M3B-C-Sr</t>
  </si>
  <si>
    <t>1日目　規定演技</t>
    <rPh sb="1" eb="2">
      <t>ニチ</t>
    </rPh>
    <rPh sb="2" eb="3">
      <t>メ</t>
    </rPh>
    <rPh sb="4" eb="6">
      <t>キテイ</t>
    </rPh>
    <rPh sb="6" eb="8">
      <t>エンギ</t>
    </rPh>
    <phoneticPr fontId="6"/>
  </si>
  <si>
    <t>2日目　規定演技</t>
    <rPh sb="1" eb="2">
      <t>ニチ</t>
    </rPh>
    <rPh sb="2" eb="3">
      <t>メ</t>
    </rPh>
    <rPh sb="4" eb="6">
      <t>キテイ</t>
    </rPh>
    <rPh sb="6" eb="8">
      <t>エンギ</t>
    </rPh>
    <phoneticPr fontId="6"/>
  </si>
  <si>
    <t>キンダ―</t>
    <phoneticPr fontId="6"/>
  </si>
  <si>
    <t>計</t>
    <rPh sb="0" eb="1">
      <t>ケイ</t>
    </rPh>
    <phoneticPr fontId="6"/>
  </si>
  <si>
    <t>キンダ―</t>
    <phoneticPr fontId="6"/>
  </si>
  <si>
    <t>参加費改訂の場合は、ここを修正</t>
    <rPh sb="0" eb="3">
      <t>サンカヒ</t>
    </rPh>
    <rPh sb="3" eb="5">
      <t>カイテイ</t>
    </rPh>
    <rPh sb="6" eb="8">
      <t>バアイ</t>
    </rPh>
    <rPh sb="13" eb="15">
      <t>シュウセイ</t>
    </rPh>
    <phoneticPr fontId="4"/>
  </si>
  <si>
    <r>
      <t xml:space="preserve">年度末
年齢
</t>
    </r>
    <r>
      <rPr>
        <sz val="10"/>
        <color theme="1"/>
        <rFont val="ＭＳ Ｐゴシック"/>
        <family val="3"/>
        <charset val="128"/>
        <scheme val="minor"/>
      </rPr>
      <t>(学年)</t>
    </r>
    <rPh sb="0" eb="3">
      <t>ネンドマツ</t>
    </rPh>
    <rPh sb="4" eb="6">
      <t>ネンレイ</t>
    </rPh>
    <rPh sb="8" eb="10">
      <t>ガクネン</t>
    </rPh>
    <phoneticPr fontId="6"/>
  </si>
  <si>
    <t>キンダ―
部門</t>
    <rPh sb="5" eb="7">
      <t>ブモン</t>
    </rPh>
    <phoneticPr fontId="6"/>
  </si>
  <si>
    <t>P-B-09</t>
    <phoneticPr fontId="4"/>
  </si>
  <si>
    <t>P-I-09</t>
    <phoneticPr fontId="4"/>
  </si>
  <si>
    <t>P-A-09</t>
    <phoneticPr fontId="4"/>
  </si>
  <si>
    <t>P-B-09</t>
    <phoneticPr fontId="6"/>
  </si>
  <si>
    <t>P-I-09</t>
    <phoneticPr fontId="6"/>
  </si>
  <si>
    <t>P-A-09</t>
    <phoneticPr fontId="6"/>
  </si>
  <si>
    <t>キンダー部門</t>
    <rPh sb="4" eb="6">
      <t>ブモン</t>
    </rPh>
    <phoneticPr fontId="4"/>
  </si>
  <si>
    <t>未就学児</t>
    <rPh sb="0" eb="4">
      <t>ミシュウガクジ</t>
    </rPh>
    <phoneticPr fontId="4"/>
  </si>
  <si>
    <t>←シリアル値は日付を標準または数値で表示</t>
    <rPh sb="5" eb="6">
      <t>チ</t>
    </rPh>
    <rPh sb="7" eb="9">
      <t>ヒヅケ</t>
    </rPh>
    <rPh sb="10" eb="12">
      <t>ヒョウジュン</t>
    </rPh>
    <rPh sb="15" eb="17">
      <t>スウチ</t>
    </rPh>
    <rPh sb="18" eb="20">
      <t>ヒョウジ</t>
    </rPh>
    <phoneticPr fontId="4"/>
  </si>
  <si>
    <t>←赤枠内は毎年更新する。</t>
    <phoneticPr fontId="4"/>
  </si>
  <si>
    <t>入力シート学年更新日　H列</t>
    <rPh sb="0" eb="2">
      <t>ニュウリョク</t>
    </rPh>
    <rPh sb="5" eb="7">
      <t>ガクネン</t>
    </rPh>
    <rPh sb="7" eb="10">
      <t>コウシンビ</t>
    </rPh>
    <rPh sb="12" eb="13">
      <t>レツ</t>
    </rPh>
    <phoneticPr fontId="4"/>
  </si>
  <si>
    <t>生年月日シリアル値</t>
    <rPh sb="0" eb="2">
      <t>セイネン</t>
    </rPh>
    <rPh sb="2" eb="4">
      <t>ガッピ</t>
    </rPh>
    <rPh sb="8" eb="9">
      <t>チ</t>
    </rPh>
    <phoneticPr fontId="6"/>
  </si>
  <si>
    <t>ソロトワール</t>
    <phoneticPr fontId="3"/>
  </si>
  <si>
    <t>男子</t>
    <rPh sb="0" eb="2">
      <t>ダンシ</t>
    </rPh>
    <phoneticPr fontId="3"/>
  </si>
  <si>
    <t>男子含む</t>
    <rPh sb="0" eb="2">
      <t>ダンシ</t>
    </rPh>
    <rPh sb="2" eb="3">
      <t>フク</t>
    </rPh>
    <phoneticPr fontId="6"/>
  </si>
  <si>
    <t>S表記</t>
    <rPh sb="1" eb="3">
      <t>ヒョウキ</t>
    </rPh>
    <phoneticPr fontId="3"/>
  </si>
  <si>
    <t>他表記</t>
    <rPh sb="0" eb="1">
      <t>ホカ</t>
    </rPh>
    <rPh sb="1" eb="3">
      <t>ヒョウキ</t>
    </rPh>
    <phoneticPr fontId="3"/>
  </si>
  <si>
    <t>2B・3B表記</t>
    <rPh sb="5" eb="7">
      <t>ヒョウキ</t>
    </rPh>
    <phoneticPr fontId="3"/>
  </si>
  <si>
    <t>検索値</t>
    <rPh sb="0" eb="2">
      <t>ケンサク</t>
    </rPh>
    <rPh sb="2" eb="3">
      <t>チ</t>
    </rPh>
    <phoneticPr fontId="3"/>
  </si>
  <si>
    <t>割当検索値</t>
    <rPh sb="0" eb="2">
      <t>ワリアテ</t>
    </rPh>
    <rPh sb="2" eb="4">
      <t>ケンサク</t>
    </rPh>
    <rPh sb="4" eb="5">
      <t>チ</t>
    </rPh>
    <phoneticPr fontId="46"/>
  </si>
  <si>
    <t>AJ列表記</t>
    <rPh sb="2" eb="3">
      <t>レツ</t>
    </rPh>
    <rPh sb="3" eb="5">
      <t>ヒョウキ</t>
    </rPh>
    <phoneticPr fontId="4"/>
  </si>
  <si>
    <t>表記</t>
    <rPh sb="0" eb="2">
      <t>ヒョウキ</t>
    </rPh>
    <phoneticPr fontId="6"/>
  </si>
  <si>
    <t>表記</t>
    <rPh sb="0" eb="2">
      <t>ヒョウキ</t>
    </rPh>
    <phoneticPr fontId="4"/>
  </si>
  <si>
    <t>キンダ―</t>
    <phoneticPr fontId="4"/>
  </si>
  <si>
    <t>ジュニア</t>
    <phoneticPr fontId="3"/>
  </si>
  <si>
    <t>シニア</t>
    <phoneticPr fontId="3"/>
  </si>
  <si>
    <t>19歳以上</t>
    <rPh sb="2" eb="3">
      <t>サイ</t>
    </rPh>
    <rPh sb="3" eb="5">
      <t>イジョウ</t>
    </rPh>
    <phoneticPr fontId="3"/>
  </si>
  <si>
    <t>大学・一般</t>
    <rPh sb="0" eb="2">
      <t>ダイガク</t>
    </rPh>
    <rPh sb="3" eb="5">
      <t>イッパン</t>
    </rPh>
    <phoneticPr fontId="3"/>
  </si>
  <si>
    <t>Ｏ－１９</t>
    <phoneticPr fontId="3"/>
  </si>
  <si>
    <t>未就学</t>
    <rPh sb="0" eb="3">
      <t>ミシュウガク</t>
    </rPh>
    <phoneticPr fontId="4"/>
  </si>
  <si>
    <t>Ｕ－６</t>
    <phoneticPr fontId="3"/>
  </si>
  <si>
    <t>全国共通
規定演技</t>
    <rPh sb="0" eb="2">
      <t>ゼンコク</t>
    </rPh>
    <rPh sb="2" eb="4">
      <t>キョウツウ</t>
    </rPh>
    <rPh sb="5" eb="7">
      <t>キテイ</t>
    </rPh>
    <rPh sb="7" eb="9">
      <t>エンギ</t>
    </rPh>
    <phoneticPr fontId="6"/>
  </si>
  <si>
    <t>関東オープン　キンダ―部門</t>
    <rPh sb="0" eb="2">
      <t>カントウ</t>
    </rPh>
    <rPh sb="11" eb="13">
      <t>ブモン</t>
    </rPh>
    <phoneticPr fontId="4"/>
  </si>
  <si>
    <t>キンダ―部門
総数</t>
    <rPh sb="4" eb="6">
      <t>ブモン</t>
    </rPh>
    <rPh sb="7" eb="9">
      <t>ソウスウ</t>
    </rPh>
    <phoneticPr fontId="4"/>
  </si>
  <si>
    <r>
      <t xml:space="preserve">関東オープン
</t>
    </r>
    <r>
      <rPr>
        <sz val="10"/>
        <color indexed="8"/>
        <rFont val="ＭＳ Ｐゴシック"/>
        <family val="3"/>
        <charset val="128"/>
      </rPr>
      <t>　</t>
    </r>
    <r>
      <rPr>
        <b/>
        <sz val="14"/>
        <color indexed="8"/>
        <rFont val="ＭＳ Ｐゴシック"/>
        <family val="3"/>
        <charset val="128"/>
      </rPr>
      <t xml:space="preserve">
(６種目選手権)</t>
    </r>
    <rPh sb="0" eb="2">
      <t>カントウ</t>
    </rPh>
    <rPh sb="11" eb="13">
      <t>シュモク</t>
    </rPh>
    <rPh sb="13" eb="16">
      <t>センシュケン</t>
    </rPh>
    <phoneticPr fontId="6"/>
  </si>
  <si>
    <t>団体名</t>
    <rPh sb="0" eb="2">
      <t>ダンタイ</t>
    </rPh>
    <rPh sb="2" eb="3">
      <t>メイ</t>
    </rPh>
    <phoneticPr fontId="3"/>
  </si>
  <si>
    <t>団体代表者者名</t>
    <rPh sb="0" eb="2">
      <t>ダンタイ</t>
    </rPh>
    <rPh sb="2" eb="5">
      <t>ダイヒョウシャ</t>
    </rPh>
    <rPh sb="5" eb="6">
      <t>シャ</t>
    </rPh>
    <rPh sb="6" eb="7">
      <t>メイ</t>
    </rPh>
    <phoneticPr fontId="3"/>
  </si>
  <si>
    <t>都県</t>
    <rPh sb="0" eb="2">
      <t>トケン</t>
    </rPh>
    <phoneticPr fontId="3"/>
  </si>
  <si>
    <t>団体住所</t>
    <rPh sb="0" eb="2">
      <t>ダンタイ</t>
    </rPh>
    <rPh sb="2" eb="4">
      <t>ジュウショ</t>
    </rPh>
    <phoneticPr fontId="3"/>
  </si>
  <si>
    <t>ＴＥＬ</t>
    <phoneticPr fontId="3"/>
  </si>
  <si>
    <t>ＦＡＸ</t>
    <phoneticPr fontId="3"/>
  </si>
  <si>
    <t>大会連絡責任者名</t>
    <rPh sb="0" eb="2">
      <t>タイカイ</t>
    </rPh>
    <rPh sb="2" eb="4">
      <t>レンラク</t>
    </rPh>
    <rPh sb="4" eb="7">
      <t>セキニンシャ</t>
    </rPh>
    <rPh sb="7" eb="8">
      <t>メイ</t>
    </rPh>
    <phoneticPr fontId="3"/>
  </si>
  <si>
    <t>大会連絡責任者携帯番号</t>
    <rPh sb="0" eb="2">
      <t>タイカイ</t>
    </rPh>
    <rPh sb="2" eb="4">
      <t>レンラク</t>
    </rPh>
    <rPh sb="4" eb="7">
      <t>セキニンシャ</t>
    </rPh>
    <rPh sb="7" eb="9">
      <t>ケイタイ</t>
    </rPh>
    <rPh sb="9" eb="11">
      <t>バンゴウ</t>
    </rPh>
    <phoneticPr fontId="3"/>
  </si>
  <si>
    <t>団体連絡者以外への送付先</t>
    <rPh sb="0" eb="2">
      <t>ダンタイ</t>
    </rPh>
    <rPh sb="2" eb="4">
      <t>レンラク</t>
    </rPh>
    <rPh sb="4" eb="5">
      <t>シャ</t>
    </rPh>
    <rPh sb="5" eb="7">
      <t>イガイ</t>
    </rPh>
    <rPh sb="9" eb="12">
      <t>ソウフサキ</t>
    </rPh>
    <phoneticPr fontId="3"/>
  </si>
  <si>
    <t>参加費</t>
    <rPh sb="0" eb="3">
      <t>サンカヒ</t>
    </rPh>
    <phoneticPr fontId="3"/>
  </si>
  <si>
    <t>※エントリー別人数表に基づき数字はすべて自動ででます。</t>
    <rPh sb="6" eb="7">
      <t>ベツ</t>
    </rPh>
    <rPh sb="7" eb="9">
      <t>ニンズウ</t>
    </rPh>
    <rPh sb="9" eb="10">
      <t>ヒョウ</t>
    </rPh>
    <rPh sb="11" eb="12">
      <t>モトヅ</t>
    </rPh>
    <rPh sb="14" eb="16">
      <t>スウジ</t>
    </rPh>
    <rPh sb="20" eb="22">
      <t>ジドウ</t>
    </rPh>
    <phoneticPr fontId="3"/>
  </si>
  <si>
    <t>関東オープン</t>
    <rPh sb="0" eb="2">
      <t>カントウ</t>
    </rPh>
    <phoneticPr fontId="3"/>
  </si>
  <si>
    <t>６種目選手権</t>
    <rPh sb="1" eb="3">
      <t>シュモク</t>
    </rPh>
    <rPh sb="3" eb="6">
      <t>センシュケン</t>
    </rPh>
    <phoneticPr fontId="3"/>
  </si>
  <si>
    <t>全国共通規定演技</t>
    <rPh sb="0" eb="2">
      <t>ゼンコク</t>
    </rPh>
    <rPh sb="2" eb="4">
      <t>キョウツウ</t>
    </rPh>
    <rPh sb="4" eb="6">
      <t>キテイ</t>
    </rPh>
    <rPh sb="6" eb="8">
      <t>エンギ</t>
    </rPh>
    <phoneticPr fontId="3"/>
  </si>
  <si>
    <t>×</t>
    <phoneticPr fontId="3"/>
  </si>
  <si>
    <t>=</t>
    <phoneticPr fontId="3"/>
  </si>
  <si>
    <t>ソロトワール</t>
    <phoneticPr fontId="3"/>
  </si>
  <si>
    <t>×</t>
    <phoneticPr fontId="3"/>
  </si>
  <si>
    <t>=</t>
    <phoneticPr fontId="3"/>
  </si>
  <si>
    <t>×</t>
    <phoneticPr fontId="3"/>
  </si>
  <si>
    <t>=</t>
    <phoneticPr fontId="3"/>
  </si>
  <si>
    <t>=</t>
    <phoneticPr fontId="3"/>
  </si>
  <si>
    <t>トゥーバトン</t>
    <phoneticPr fontId="3"/>
  </si>
  <si>
    <t>×</t>
    <phoneticPr fontId="3"/>
  </si>
  <si>
    <t>=</t>
    <phoneticPr fontId="3"/>
  </si>
  <si>
    <t>スリーバトン</t>
    <phoneticPr fontId="3"/>
  </si>
  <si>
    <t>スリーバトン</t>
    <phoneticPr fontId="3"/>
  </si>
  <si>
    <t>×</t>
    <phoneticPr fontId="3"/>
  </si>
  <si>
    <t>=</t>
    <phoneticPr fontId="3"/>
  </si>
  <si>
    <t>ソロストラット</t>
    <phoneticPr fontId="3"/>
  </si>
  <si>
    <t>=</t>
    <phoneticPr fontId="3"/>
  </si>
  <si>
    <t>小計①</t>
    <rPh sb="0" eb="2">
      <t>ショウケイ</t>
    </rPh>
    <phoneticPr fontId="3"/>
  </si>
  <si>
    <t>ペア</t>
    <phoneticPr fontId="3"/>
  </si>
  <si>
    <t>×</t>
    <phoneticPr fontId="3"/>
  </si>
  <si>
    <t>関東６種目</t>
    <rPh sb="0" eb="2">
      <t>カントウ</t>
    </rPh>
    <rPh sb="3" eb="5">
      <t>シュモク</t>
    </rPh>
    <phoneticPr fontId="3"/>
  </si>
  <si>
    <t>ソロトワール</t>
    <phoneticPr fontId="3"/>
  </si>
  <si>
    <t>入門</t>
    <rPh sb="0" eb="2">
      <t>ニュウモン</t>
    </rPh>
    <phoneticPr fontId="3"/>
  </si>
  <si>
    <t>×</t>
    <phoneticPr fontId="3"/>
  </si>
  <si>
    <t>初級</t>
    <rPh sb="0" eb="2">
      <t>ショキュウ</t>
    </rPh>
    <phoneticPr fontId="3"/>
  </si>
  <si>
    <t>=</t>
    <phoneticPr fontId="3"/>
  </si>
  <si>
    <t>中級</t>
    <rPh sb="0" eb="2">
      <t>チュウキュウ</t>
    </rPh>
    <phoneticPr fontId="3"/>
  </si>
  <si>
    <t>上級</t>
    <rPh sb="0" eb="2">
      <t>ジョウキュウ</t>
    </rPh>
    <phoneticPr fontId="3"/>
  </si>
  <si>
    <t>トゥーバトン</t>
    <phoneticPr fontId="3"/>
  </si>
  <si>
    <t>=</t>
    <phoneticPr fontId="3"/>
  </si>
  <si>
    <t>ペア</t>
    <phoneticPr fontId="3"/>
  </si>
  <si>
    <t>小計②</t>
    <rPh sb="0" eb="2">
      <t>ショウケイ</t>
    </rPh>
    <phoneticPr fontId="3"/>
  </si>
  <si>
    <t>×</t>
    <phoneticPr fontId="3"/>
  </si>
  <si>
    <t>=</t>
    <phoneticPr fontId="3"/>
  </si>
  <si>
    <t>合計金額をよく確認してお振込み下さい。</t>
    <rPh sb="0" eb="2">
      <t>ゴウケイ</t>
    </rPh>
    <rPh sb="2" eb="3">
      <t>キン</t>
    </rPh>
    <rPh sb="3" eb="4">
      <t>ガク</t>
    </rPh>
    <rPh sb="7" eb="9">
      <t>カクニン</t>
    </rPh>
    <rPh sb="12" eb="14">
      <t>フリコ</t>
    </rPh>
    <rPh sb="15" eb="16">
      <t>クダ</t>
    </rPh>
    <phoneticPr fontId="3"/>
  </si>
  <si>
    <t>ｾﾙﾎﾞ
年齢</t>
    <rPh sb="5" eb="7">
      <t>ネンレイ</t>
    </rPh>
    <phoneticPr fontId="4"/>
  </si>
  <si>
    <t>OK</t>
    <phoneticPr fontId="4"/>
  </si>
  <si>
    <t>1・2＆3・4</t>
    <phoneticPr fontId="4"/>
  </si>
  <si>
    <t>3・4・5・6</t>
    <phoneticPr fontId="4"/>
  </si>
  <si>
    <t>ペア組み合わせ</t>
    <rPh sb="2" eb="3">
      <t>ク</t>
    </rPh>
    <rPh sb="4" eb="5">
      <t>ア</t>
    </rPh>
    <phoneticPr fontId="4"/>
  </si>
  <si>
    <t>ソロストラット</t>
  </si>
  <si>
    <t>ソロストラット</t>
    <phoneticPr fontId="6"/>
  </si>
  <si>
    <t>ダンストワール</t>
  </si>
  <si>
    <t>ダンストワール</t>
    <phoneticPr fontId="6"/>
  </si>
  <si>
    <t>ソロストラット</t>
    <phoneticPr fontId="3"/>
  </si>
  <si>
    <t>ダンストワール</t>
    <phoneticPr fontId="3"/>
  </si>
  <si>
    <t>バトン入門</t>
    <rPh sb="3" eb="5">
      <t>ニュウモン</t>
    </rPh>
    <phoneticPr fontId="3"/>
  </si>
  <si>
    <t>バトン初級</t>
    <rPh sb="3" eb="5">
      <t>ショキュウ</t>
    </rPh>
    <phoneticPr fontId="3"/>
  </si>
  <si>
    <t>バトン中級</t>
    <rPh sb="3" eb="5">
      <t>チュウキュウ</t>
    </rPh>
    <phoneticPr fontId="3"/>
  </si>
  <si>
    <t>バトン上級</t>
    <rPh sb="3" eb="5">
      <t>ジョウキュウ</t>
    </rPh>
    <phoneticPr fontId="3"/>
  </si>
  <si>
    <t>ポンポン初級</t>
    <rPh sb="4" eb="6">
      <t>ショキュウ</t>
    </rPh>
    <phoneticPr fontId="3"/>
  </si>
  <si>
    <t>ポンポン中級</t>
    <rPh sb="4" eb="6">
      <t>チュウキュウ</t>
    </rPh>
    <phoneticPr fontId="3"/>
  </si>
  <si>
    <t>関東オープン　キンダ―部門</t>
    <rPh sb="0" eb="2">
      <t>カントウ</t>
    </rPh>
    <rPh sb="11" eb="13">
      <t>ブモン</t>
    </rPh>
    <phoneticPr fontId="3"/>
  </si>
  <si>
    <t>未就学児</t>
    <rPh sb="0" eb="4">
      <t>ミシュウガクジ</t>
    </rPh>
    <phoneticPr fontId="3"/>
  </si>
  <si>
    <t>ソロストラット</t>
    <phoneticPr fontId="3"/>
  </si>
  <si>
    <t>ダンストワール</t>
    <phoneticPr fontId="3"/>
  </si>
  <si>
    <t>部門</t>
    <rPh sb="0" eb="2">
      <t>ブモン</t>
    </rPh>
    <phoneticPr fontId="4"/>
  </si>
  <si>
    <t>ソロトワール</t>
  </si>
  <si>
    <t>トゥーバトン</t>
  </si>
  <si>
    <t>スリーバトン</t>
  </si>
  <si>
    <t>ペア</t>
  </si>
  <si>
    <t>アーティスティック
トワール</t>
  </si>
  <si>
    <t>アーティスティック
ペア</t>
  </si>
  <si>
    <t>一度に複数セルの絶対値に変換</t>
    <rPh sb="0" eb="2">
      <t>イチド</t>
    </rPh>
    <rPh sb="3" eb="5">
      <t>フクスウ</t>
    </rPh>
    <rPh sb="8" eb="11">
      <t>ゼッタイチ</t>
    </rPh>
    <rPh sb="12" eb="14">
      <t>ヘンカン</t>
    </rPh>
    <phoneticPr fontId="6"/>
  </si>
  <si>
    <t>『Alt』キーを押しながら『F11』キーで『VBE』の画面を表示</t>
    <phoneticPr fontId="6"/>
  </si>
  <si>
    <t>『Alt』キーを押したまま『I』キー ⇒『M』『標準モジュール』</t>
    <phoneticPr fontId="6"/>
  </si>
  <si>
    <t>Sub 絶対参照()
Dim myRange As Range
On Error Resume Next
If Not ActiveWindow Is Nothing Then
For Each myRange In Selection.SpecialCells(xlCellTypeFormulas)
If myRange.HasArray = False Then
myRange.Formula = Application.ConvertFormula _
(myRange.Formula, xlA1, , xlAbsolute, myRange)
Else
myRange.FormulaArray = Application.ConvertFormula _
(myRange.FormulaArray, xlA1, , xlAbsolute, myRange)
End If
Next
Else
Exit Sub
End If
End Sub</t>
    <phoneticPr fontId="6"/>
  </si>
  <si>
    <t>再び『Alt』キーを押しながら『F11』キーでExcelの画面に戻る</t>
    <phoneticPr fontId="6"/>
  </si>
  <si>
    <t>数式を『絶対参照』に変更したい範囲を選択して、『Alt』キーを押しながら『F8』キーで
『マクロ』を表示させ【絶対参照】を選択して『実行』</t>
    <phoneticPr fontId="6"/>
  </si>
  <si>
    <t>←オープン計</t>
    <rPh sb="5" eb="6">
      <t>ケイ</t>
    </rPh>
    <phoneticPr fontId="4"/>
  </si>
  <si>
    <t>←選手権計</t>
    <rPh sb="1" eb="4">
      <t>センシュケン</t>
    </rPh>
    <rPh sb="4" eb="5">
      <t>ケイ</t>
    </rPh>
    <phoneticPr fontId="4"/>
  </si>
  <si>
    <t>会員番号</t>
    <rPh sb="0" eb="2">
      <t>カイイン</t>
    </rPh>
    <rPh sb="2" eb="4">
      <t>バンゴウ</t>
    </rPh>
    <phoneticPr fontId="46"/>
  </si>
  <si>
    <t>氏名</t>
    <rPh sb="0" eb="2">
      <t>シメイ</t>
    </rPh>
    <phoneticPr fontId="3"/>
  </si>
  <si>
    <t>所属団体名/出場先団体名</t>
    <rPh sb="0" eb="2">
      <t>ショゾク</t>
    </rPh>
    <rPh sb="2" eb="4">
      <t>ダンタイ</t>
    </rPh>
    <rPh sb="4" eb="5">
      <t>メイ</t>
    </rPh>
    <rPh sb="6" eb="8">
      <t>シュツジョウ</t>
    </rPh>
    <rPh sb="8" eb="9">
      <t>サキ</t>
    </rPh>
    <rPh sb="9" eb="11">
      <t>ダンタイ</t>
    </rPh>
    <rPh sb="11" eb="12">
      <t>メイ</t>
    </rPh>
    <phoneticPr fontId="46"/>
  </si>
  <si>
    <t>関東6種目</t>
  </si>
  <si>
    <t>U-12</t>
    <phoneticPr fontId="4"/>
  </si>
  <si>
    <t>他団体から複合出場</t>
  </si>
  <si>
    <t>所属団体名</t>
    <rPh sb="0" eb="2">
      <t>ショゾク</t>
    </rPh>
    <rPh sb="2" eb="4">
      <t>ダンタイ</t>
    </rPh>
    <rPh sb="4" eb="5">
      <t>メイ</t>
    </rPh>
    <phoneticPr fontId="46"/>
  </si>
  <si>
    <t>S-N-06</t>
    <phoneticPr fontId="4"/>
  </si>
  <si>
    <t>S-N-09</t>
    <phoneticPr fontId="4"/>
  </si>
  <si>
    <t>S-I-06</t>
  </si>
  <si>
    <t>S-I-09</t>
  </si>
  <si>
    <t>S-A-06</t>
  </si>
  <si>
    <t>S-B-09</t>
    <phoneticPr fontId="3"/>
  </si>
  <si>
    <t>S-B-06</t>
    <phoneticPr fontId="3"/>
  </si>
  <si>
    <t>S-A-09</t>
  </si>
  <si>
    <t>2B-B-09</t>
  </si>
  <si>
    <t>2B-I-09</t>
  </si>
  <si>
    <t>2B-A-09</t>
  </si>
  <si>
    <t>3B-B-09</t>
  </si>
  <si>
    <t>3B-A-09</t>
  </si>
  <si>
    <t>SS-B-09</t>
  </si>
  <si>
    <t>SS-I-09</t>
  </si>
  <si>
    <t>SS-A-09</t>
  </si>
  <si>
    <t>D-B-09</t>
  </si>
  <si>
    <t>D-I-09</t>
    <phoneticPr fontId="3"/>
  </si>
  <si>
    <t>D-A-09</t>
    <phoneticPr fontId="3"/>
  </si>
  <si>
    <t>S-N-06</t>
    <phoneticPr fontId="6"/>
  </si>
  <si>
    <t>S-N-09</t>
    <phoneticPr fontId="6"/>
  </si>
  <si>
    <t>S-B-06</t>
    <phoneticPr fontId="6"/>
  </si>
  <si>
    <t>S-B-09</t>
    <phoneticPr fontId="6"/>
  </si>
  <si>
    <t>2B-B-09</t>
    <phoneticPr fontId="6"/>
  </si>
  <si>
    <t>3B-B-09</t>
    <phoneticPr fontId="6"/>
  </si>
  <si>
    <t>SS-B-09</t>
    <phoneticPr fontId="6"/>
  </si>
  <si>
    <t>D-B-09</t>
    <phoneticPr fontId="6"/>
  </si>
  <si>
    <t>S-I-06</t>
    <phoneticPr fontId="6"/>
  </si>
  <si>
    <t>S-I-09</t>
    <phoneticPr fontId="6"/>
  </si>
  <si>
    <t>2B-I-09</t>
    <phoneticPr fontId="6"/>
  </si>
  <si>
    <t>SS-I-09</t>
    <phoneticPr fontId="6"/>
  </si>
  <si>
    <t>D-I-09</t>
    <phoneticPr fontId="6"/>
  </si>
  <si>
    <t>S-A-06</t>
    <phoneticPr fontId="6"/>
  </si>
  <si>
    <t>S-A-09</t>
    <phoneticPr fontId="6"/>
  </si>
  <si>
    <t>2B-A-09</t>
    <phoneticPr fontId="6"/>
  </si>
  <si>
    <t>3B-A-09</t>
    <phoneticPr fontId="6"/>
  </si>
  <si>
    <t>SS-A-09</t>
    <phoneticPr fontId="6"/>
  </si>
  <si>
    <t>D-A-09</t>
    <phoneticPr fontId="6"/>
  </si>
  <si>
    <t>例 00000</t>
    <rPh sb="0" eb="1">
      <t>レイ</t>
    </rPh>
    <phoneticPr fontId="4"/>
  </si>
  <si>
    <t>○</t>
    <phoneticPr fontId="4"/>
  </si>
  <si>
    <t>中級</t>
    <rPh sb="0" eb="2">
      <t>チュウキュウ</t>
    </rPh>
    <phoneticPr fontId="4"/>
  </si>
  <si>
    <t>入門</t>
    <rPh sb="0" eb="2">
      <t>ニュウモン</t>
    </rPh>
    <phoneticPr fontId="4"/>
  </si>
  <si>
    <t>選手権</t>
    <rPh sb="0" eb="3">
      <t>センシュケン</t>
    </rPh>
    <phoneticPr fontId="4"/>
  </si>
  <si>
    <t>関東高等学校</t>
    <rPh sb="0" eb="2">
      <t>カントウ</t>
    </rPh>
    <rPh sb="2" eb="4">
      <t>コウトウ</t>
    </rPh>
    <rPh sb="4" eb="6">
      <t>ガッコウ</t>
    </rPh>
    <phoneticPr fontId="4"/>
  </si>
  <si>
    <t>東京都中央区</t>
    <rPh sb="0" eb="3">
      <t>トウキョウト</t>
    </rPh>
    <rPh sb="3" eb="6">
      <t>チュウオウク</t>
    </rPh>
    <phoneticPr fontId="4"/>
  </si>
  <si>
    <t>団体ID</t>
    <rPh sb="0" eb="2">
      <t>ダンタイ</t>
    </rPh>
    <phoneticPr fontId="3"/>
  </si>
  <si>
    <t>ペア初級</t>
    <rPh sb="2" eb="4">
      <t>ショキュウ</t>
    </rPh>
    <phoneticPr fontId="4"/>
  </si>
  <si>
    <t>入力シート選手権セルボ用年齢　CY列  大会時の年齢（多分あまり必要ない）</t>
    <rPh sb="0" eb="2">
      <t>ニュウリョク</t>
    </rPh>
    <rPh sb="5" eb="8">
      <t>センシュケン</t>
    </rPh>
    <rPh sb="11" eb="12">
      <t>ヨウ</t>
    </rPh>
    <rPh sb="12" eb="14">
      <t>ネンレイ</t>
    </rPh>
    <rPh sb="17" eb="18">
      <t>レツ</t>
    </rPh>
    <rPh sb="20" eb="22">
      <t>タイカイ</t>
    </rPh>
    <rPh sb="22" eb="23">
      <t>ジ</t>
    </rPh>
    <rPh sb="24" eb="26">
      <t>ネンレイ</t>
    </rPh>
    <rPh sb="27" eb="29">
      <t>タブン</t>
    </rPh>
    <rPh sb="32" eb="34">
      <t>ヒツヨウ</t>
    </rPh>
    <phoneticPr fontId="4"/>
  </si>
  <si>
    <t>○</t>
    <phoneticPr fontId="6"/>
  </si>
  <si>
    <t>＜２７日（日）＞</t>
    <rPh sb="3" eb="4">
      <t>ニチ</t>
    </rPh>
    <rPh sb="5" eb="6">
      <t>ニチ</t>
    </rPh>
    <phoneticPr fontId="6"/>
  </si>
  <si>
    <t>＜２６日（土）＞</t>
    <rPh sb="3" eb="4">
      <t>ニチ</t>
    </rPh>
    <rPh sb="5" eb="6">
      <t>ド</t>
    </rPh>
    <phoneticPr fontId="6"/>
  </si>
  <si>
    <t>団体情報：団体住所・責任者名が記載されたページ</t>
    <rPh sb="0" eb="2">
      <t>ダンタイ</t>
    </rPh>
    <rPh sb="2" eb="4">
      <t>ジョウホウ</t>
    </rPh>
    <rPh sb="5" eb="7">
      <t>ダンタイ</t>
    </rPh>
    <rPh sb="7" eb="9">
      <t>ジュウショ</t>
    </rPh>
    <rPh sb="10" eb="13">
      <t>セキニンシャ</t>
    </rPh>
    <rPh sb="13" eb="14">
      <t>メイ</t>
    </rPh>
    <rPh sb="15" eb="17">
      <t>キサイ</t>
    </rPh>
    <phoneticPr fontId="4"/>
  </si>
  <si>
    <t>所属会員一覧：会員番号・会員名が記載されたページ</t>
    <rPh sb="0" eb="2">
      <t>ショゾク</t>
    </rPh>
    <rPh sb="2" eb="4">
      <t>カイイン</t>
    </rPh>
    <rPh sb="4" eb="6">
      <t>イチラン</t>
    </rPh>
    <rPh sb="7" eb="9">
      <t>カイイン</t>
    </rPh>
    <rPh sb="9" eb="11">
      <t>バンゴウ</t>
    </rPh>
    <rPh sb="12" eb="14">
      <t>カイイン</t>
    </rPh>
    <rPh sb="14" eb="15">
      <t>メイ</t>
    </rPh>
    <rPh sb="16" eb="18">
      <t>キサイ</t>
    </rPh>
    <phoneticPr fontId="4"/>
  </si>
  <si>
    <t>関東６種目において、１人の選手が1つの種目で複数の級を申込む場合は、複数行を使い入力してください。</t>
    <rPh sb="0" eb="2">
      <t>カントウ</t>
    </rPh>
    <rPh sb="3" eb="5">
      <t>シュモク</t>
    </rPh>
    <rPh sb="11" eb="12">
      <t>ニン</t>
    </rPh>
    <rPh sb="13" eb="15">
      <t>センシュ</t>
    </rPh>
    <rPh sb="19" eb="21">
      <t>シュモク</t>
    </rPh>
    <rPh sb="22" eb="24">
      <t>フクスウ</t>
    </rPh>
    <rPh sb="25" eb="26">
      <t>キュウ</t>
    </rPh>
    <rPh sb="27" eb="29">
      <t>モウシコ</t>
    </rPh>
    <rPh sb="30" eb="32">
      <t>バアイ</t>
    </rPh>
    <rPh sb="34" eb="36">
      <t>フクスウ</t>
    </rPh>
    <rPh sb="36" eb="37">
      <t>ギョウ</t>
    </rPh>
    <rPh sb="38" eb="39">
      <t>ツカ</t>
    </rPh>
    <rPh sb="40" eb="42">
      <t>ニュウリョク</t>
    </rPh>
    <phoneticPr fontId="4"/>
  </si>
  <si>
    <t>○を選択</t>
    <phoneticPr fontId="4"/>
  </si>
  <si>
    <t>1-1</t>
    <phoneticPr fontId="46"/>
  </si>
  <si>
    <t>1-補1</t>
    <rPh sb="2" eb="3">
      <t>ホ</t>
    </rPh>
    <phoneticPr fontId="46"/>
  </si>
  <si>
    <t>IBTF⇒</t>
    <phoneticPr fontId="3"/>
  </si>
  <si>
    <t>アーティスティック
グループ</t>
    <phoneticPr fontId="3"/>
  </si>
  <si>
    <t>IBTF種目</t>
    <rPh sb="4" eb="6">
      <t>シュモク</t>
    </rPh>
    <phoneticPr fontId="3"/>
  </si>
  <si>
    <t>＜IBTF＞</t>
    <phoneticPr fontId="3"/>
  </si>
  <si>
    <t>AT表記</t>
    <rPh sb="2" eb="4">
      <t>ヒョウキ</t>
    </rPh>
    <phoneticPr fontId="3"/>
  </si>
  <si>
    <t>女子ユース</t>
    <rPh sb="0" eb="1">
      <t>オンナ</t>
    </rPh>
    <phoneticPr fontId="3"/>
  </si>
  <si>
    <t>女子ジュニア</t>
    <rPh sb="0" eb="2">
      <t>ジョシ</t>
    </rPh>
    <phoneticPr fontId="3"/>
  </si>
  <si>
    <t>女子シニア</t>
    <rPh sb="0" eb="2">
      <t>ジョシ</t>
    </rPh>
    <phoneticPr fontId="3"/>
  </si>
  <si>
    <t>女子アダルト</t>
    <rPh sb="0" eb="2">
      <t>ジョシ</t>
    </rPh>
    <phoneticPr fontId="3"/>
  </si>
  <si>
    <t>男子ジュニア</t>
    <rPh sb="0" eb="2">
      <t>ダンシ</t>
    </rPh>
    <phoneticPr fontId="3"/>
  </si>
  <si>
    <t>男子シニア</t>
    <rPh sb="0" eb="2">
      <t>ダンシ</t>
    </rPh>
    <phoneticPr fontId="3"/>
  </si>
  <si>
    <t>年齢区分</t>
    <rPh sb="0" eb="4">
      <t>ネンレイクブン</t>
    </rPh>
    <phoneticPr fontId="4"/>
  </si>
  <si>
    <t>女子</t>
    <rPh sb="0" eb="2">
      <t>ジョシ</t>
    </rPh>
    <phoneticPr fontId="3"/>
  </si>
  <si>
    <t>ｱｰﾃｨｽﾃｨｯｸ
グループ</t>
    <phoneticPr fontId="4"/>
  </si>
  <si>
    <t>アーティスティック　グループ</t>
    <phoneticPr fontId="3"/>
  </si>
  <si>
    <t>No.</t>
    <phoneticPr fontId="3"/>
  </si>
  <si>
    <t>ﾁｰﾑNo.</t>
    <phoneticPr fontId="3"/>
  </si>
  <si>
    <t>参加者</t>
    <rPh sb="0" eb="3">
      <t>サンカシャ</t>
    </rPh>
    <phoneticPr fontId="3"/>
  </si>
  <si>
    <t>コード</t>
    <phoneticPr fontId="3"/>
  </si>
  <si>
    <t>1-1</t>
    <phoneticPr fontId="3"/>
  </si>
  <si>
    <t>1-2</t>
    <phoneticPr fontId="3"/>
  </si>
  <si>
    <t>1-3</t>
  </si>
  <si>
    <t>1-4</t>
  </si>
  <si>
    <t>1-5</t>
  </si>
  <si>
    <t>1-6</t>
  </si>
  <si>
    <t>1-7</t>
  </si>
  <si>
    <t>1-8</t>
  </si>
  <si>
    <t>1-9</t>
  </si>
  <si>
    <t>1-補1</t>
    <rPh sb="2" eb="3">
      <t>ホ</t>
    </rPh>
    <phoneticPr fontId="3"/>
  </si>
  <si>
    <t>1-10</t>
  </si>
  <si>
    <t>1-補2</t>
    <rPh sb="2" eb="3">
      <t>ホ</t>
    </rPh>
    <phoneticPr fontId="3"/>
  </si>
  <si>
    <t>1-11</t>
  </si>
  <si>
    <t>2-1</t>
    <phoneticPr fontId="3"/>
  </si>
  <si>
    <t>1-12</t>
  </si>
  <si>
    <t>2-2</t>
  </si>
  <si>
    <t>1-13</t>
  </si>
  <si>
    <t>2-3</t>
  </si>
  <si>
    <t>1-14</t>
  </si>
  <si>
    <t>2-4</t>
  </si>
  <si>
    <t>1-15</t>
  </si>
  <si>
    <t>2-5</t>
  </si>
  <si>
    <t>1-16</t>
  </si>
  <si>
    <t>2-6</t>
  </si>
  <si>
    <t>1-17</t>
  </si>
  <si>
    <t>2-7</t>
  </si>
  <si>
    <t>1-18</t>
  </si>
  <si>
    <t>2-8</t>
  </si>
  <si>
    <t>1-19</t>
  </si>
  <si>
    <t>2-補1</t>
    <rPh sb="2" eb="3">
      <t>ホ</t>
    </rPh>
    <phoneticPr fontId="3"/>
  </si>
  <si>
    <t>1-20</t>
  </si>
  <si>
    <t>2-補2</t>
    <rPh sb="2" eb="3">
      <t>ホ</t>
    </rPh>
    <phoneticPr fontId="3"/>
  </si>
  <si>
    <t>1-21</t>
  </si>
  <si>
    <t>3-1</t>
    <phoneticPr fontId="3"/>
  </si>
  <si>
    <t>1-22</t>
  </si>
  <si>
    <t>3-2</t>
  </si>
  <si>
    <t>1-23</t>
  </si>
  <si>
    <t>3-3</t>
  </si>
  <si>
    <t>1-24</t>
  </si>
  <si>
    <t>3-4</t>
  </si>
  <si>
    <t>1-25</t>
  </si>
  <si>
    <t>3-5</t>
  </si>
  <si>
    <t>1-26</t>
  </si>
  <si>
    <t>3-6</t>
  </si>
  <si>
    <t>1-27</t>
  </si>
  <si>
    <t>3-7</t>
  </si>
  <si>
    <t>1-28</t>
  </si>
  <si>
    <t>3-8</t>
  </si>
  <si>
    <t>1-29</t>
  </si>
  <si>
    <t>3-補1</t>
    <rPh sb="2" eb="3">
      <t>ホ</t>
    </rPh>
    <phoneticPr fontId="3"/>
  </si>
  <si>
    <t>1-30</t>
  </si>
  <si>
    <t>3-補2</t>
    <rPh sb="2" eb="3">
      <t>ホ</t>
    </rPh>
    <phoneticPr fontId="3"/>
  </si>
  <si>
    <t>4-1</t>
    <phoneticPr fontId="3"/>
  </si>
  <si>
    <t>4-2</t>
  </si>
  <si>
    <t>4-3</t>
  </si>
  <si>
    <t>4-4</t>
  </si>
  <si>
    <t>4-5</t>
  </si>
  <si>
    <t>4-6</t>
  </si>
  <si>
    <t>4-7</t>
  </si>
  <si>
    <t>4-8</t>
  </si>
  <si>
    <t>4-補1</t>
    <rPh sb="2" eb="3">
      <t>ホ</t>
    </rPh>
    <phoneticPr fontId="3"/>
  </si>
  <si>
    <t>4-補2</t>
    <rPh sb="2" eb="3">
      <t>ホ</t>
    </rPh>
    <phoneticPr fontId="3"/>
  </si>
  <si>
    <t>5-1</t>
    <phoneticPr fontId="3"/>
  </si>
  <si>
    <t>5-2</t>
  </si>
  <si>
    <t>5-3</t>
  </si>
  <si>
    <t>5-4</t>
  </si>
  <si>
    <t>5-5</t>
  </si>
  <si>
    <t>5-6</t>
  </si>
  <si>
    <t>5-7</t>
  </si>
  <si>
    <t>5-8</t>
  </si>
  <si>
    <t>5-補1</t>
    <rPh sb="2" eb="3">
      <t>ホ</t>
    </rPh>
    <phoneticPr fontId="3"/>
  </si>
  <si>
    <t>5-補2</t>
    <rPh sb="2" eb="3">
      <t>ホ</t>
    </rPh>
    <phoneticPr fontId="3"/>
  </si>
  <si>
    <t>6-1</t>
    <phoneticPr fontId="3"/>
  </si>
  <si>
    <t>6-2</t>
  </si>
  <si>
    <t>6-3</t>
  </si>
  <si>
    <t>6-4</t>
  </si>
  <si>
    <t>6-5</t>
  </si>
  <si>
    <t>6-6</t>
  </si>
  <si>
    <t>6-7</t>
  </si>
  <si>
    <t>6-8</t>
  </si>
  <si>
    <t>6-補1</t>
    <rPh sb="2" eb="3">
      <t>ホ</t>
    </rPh>
    <phoneticPr fontId="3"/>
  </si>
  <si>
    <t>6-補2</t>
    <rPh sb="2" eb="3">
      <t>ホ</t>
    </rPh>
    <phoneticPr fontId="3"/>
  </si>
  <si>
    <t>2-9</t>
  </si>
  <si>
    <t>2-10</t>
  </si>
  <si>
    <t>2-11</t>
  </si>
  <si>
    <t>2-12</t>
  </si>
  <si>
    <t>2-13</t>
  </si>
  <si>
    <t>2-14</t>
  </si>
  <si>
    <t>2-15</t>
  </si>
  <si>
    <t>2-16</t>
  </si>
  <si>
    <t>2-17</t>
  </si>
  <si>
    <t>2-18</t>
  </si>
  <si>
    <t>2-19</t>
  </si>
  <si>
    <t>2-20</t>
  </si>
  <si>
    <t>2-21</t>
  </si>
  <si>
    <t>2-22</t>
  </si>
  <si>
    <t>2-23</t>
  </si>
  <si>
    <t>2-24</t>
  </si>
  <si>
    <t>2-25</t>
  </si>
  <si>
    <t>2-26</t>
  </si>
  <si>
    <t>2-27</t>
  </si>
  <si>
    <t>2-28</t>
  </si>
  <si>
    <t>2-29</t>
  </si>
  <si>
    <t>2-30</t>
  </si>
  <si>
    <t>人数⇒</t>
    <rPh sb="0" eb="2">
      <t>ニンズウ</t>
    </rPh>
    <phoneticPr fontId="4"/>
  </si>
  <si>
    <t>アーティスティック
グループ</t>
    <phoneticPr fontId="4"/>
  </si>
  <si>
    <t>IBTF種目
総数</t>
    <rPh sb="4" eb="6">
      <t>シュモク</t>
    </rPh>
    <rPh sb="7" eb="9">
      <t>ソウスウ</t>
    </rPh>
    <phoneticPr fontId="4"/>
  </si>
  <si>
    <t>IBTF</t>
    <phoneticPr fontId="4"/>
  </si>
  <si>
    <t>IBTF複数種目</t>
    <rPh sb="4" eb="8">
      <t>フクスウシュモク</t>
    </rPh>
    <phoneticPr fontId="4"/>
  </si>
  <si>
    <t>AG</t>
    <phoneticPr fontId="46"/>
  </si>
  <si>
    <t>AG</t>
    <phoneticPr fontId="4"/>
  </si>
  <si>
    <t>小計③</t>
    <rPh sb="0" eb="2">
      <t>ショウケイ</t>
    </rPh>
    <phoneticPr fontId="3"/>
  </si>
  <si>
    <t>東京　はな子</t>
    <rPh sb="0" eb="2">
      <t>トウキョウ</t>
    </rPh>
    <rPh sb="5" eb="6">
      <t>コ</t>
    </rPh>
    <phoneticPr fontId="4"/>
  </si>
  <si>
    <t>東京　望</t>
    <rPh sb="0" eb="2">
      <t>トウキョウ</t>
    </rPh>
    <rPh sb="3" eb="4">
      <t>ノゾミ</t>
    </rPh>
    <phoneticPr fontId="4"/>
  </si>
  <si>
    <t>東京　建太</t>
    <rPh sb="0" eb="2">
      <t>トウキョウ</t>
    </rPh>
    <rPh sb="3" eb="5">
      <t>ケンタ</t>
    </rPh>
    <phoneticPr fontId="4"/>
  </si>
  <si>
    <t>東京　太郎</t>
    <rPh sb="0" eb="2">
      <t>トウキョウ</t>
    </rPh>
    <rPh sb="3" eb="5">
      <t>タロウ</t>
    </rPh>
    <phoneticPr fontId="4"/>
  </si>
  <si>
    <t>～</t>
  </si>
  <si>
    <t>1-2</t>
  </si>
  <si>
    <t>○</t>
  </si>
  <si>
    <t>東京　花子</t>
    <rPh sb="0" eb="2">
      <t>トウキョウ</t>
    </rPh>
    <rPh sb="3" eb="5">
      <t>ハナコ</t>
    </rPh>
    <phoneticPr fontId="4"/>
  </si>
  <si>
    <r>
      <t>ペア種目に申込みがある選手は、選択欄の右に半角数字で以下のように</t>
    </r>
    <r>
      <rPr>
        <sz val="11"/>
        <rFont val="ＭＳ Ｐゴシック"/>
        <family val="3"/>
        <charset val="128"/>
      </rPr>
      <t>番号を入れてください。</t>
    </r>
    <rPh sb="2" eb="4">
      <t>シュモク</t>
    </rPh>
    <rPh sb="5" eb="7">
      <t>モウシコミ</t>
    </rPh>
    <rPh sb="11" eb="13">
      <t>センシュ</t>
    </rPh>
    <rPh sb="15" eb="17">
      <t>センタク</t>
    </rPh>
    <rPh sb="17" eb="18">
      <t>ラン</t>
    </rPh>
    <rPh sb="19" eb="20">
      <t>ミギ</t>
    </rPh>
    <rPh sb="21" eb="23">
      <t>ハンカク</t>
    </rPh>
    <rPh sb="23" eb="25">
      <t>スウジ</t>
    </rPh>
    <rPh sb="26" eb="28">
      <t>イカ</t>
    </rPh>
    <rPh sb="32" eb="34">
      <t>バンゴウ</t>
    </rPh>
    <rPh sb="35" eb="36">
      <t>イ</t>
    </rPh>
    <phoneticPr fontId="4"/>
  </si>
  <si>
    <t>エントリー一覧（セット番号表）をメールにて送信しますので各団体で訂正がないかどうかを確認の上、事務局まで返信をお願いいたします。</t>
    <phoneticPr fontId="4"/>
  </si>
  <si>
    <t>男子シニア</t>
    <rPh sb="0" eb="2">
      <t>ダンシ</t>
    </rPh>
    <phoneticPr fontId="4"/>
  </si>
  <si>
    <t>シニア</t>
    <phoneticPr fontId="4"/>
  </si>
  <si>
    <t>資料送付先
※必須</t>
    <rPh sb="0" eb="2">
      <t>シリョウ</t>
    </rPh>
    <rPh sb="2" eb="5">
      <t>ソウフサキ</t>
    </rPh>
    <rPh sb="7" eb="9">
      <t>ヒッス</t>
    </rPh>
    <phoneticPr fontId="4"/>
  </si>
  <si>
    <t>AQ表記</t>
    <rPh sb="2" eb="4">
      <t>ヒョウキ</t>
    </rPh>
    <phoneticPr fontId="4"/>
  </si>
  <si>
    <t>S-OP-U9</t>
    <phoneticPr fontId="3"/>
  </si>
  <si>
    <t>S-OP-U12</t>
    <phoneticPr fontId="3"/>
  </si>
  <si>
    <t>2B-OP-U12</t>
  </si>
  <si>
    <t>3B-OP-U12</t>
  </si>
  <si>
    <t>SS-OP-U12</t>
  </si>
  <si>
    <t>D-OP-U12</t>
  </si>
  <si>
    <t>P-OP-U12</t>
  </si>
  <si>
    <t>S-OP-U15</t>
    <phoneticPr fontId="3"/>
  </si>
  <si>
    <t>2B-OP-U15</t>
  </si>
  <si>
    <t>3B-OP-U15</t>
  </si>
  <si>
    <t>SS-OP-U15</t>
  </si>
  <si>
    <t>D-OP-U15</t>
  </si>
  <si>
    <t>P-OP-U15</t>
  </si>
  <si>
    <t>2B-OP-U18</t>
  </si>
  <si>
    <t>3B-OP-U18</t>
  </si>
  <si>
    <t>SS-OP-U18</t>
  </si>
  <si>
    <t>D-OP-U18</t>
  </si>
  <si>
    <t>P-OP-U18</t>
  </si>
  <si>
    <t>S-OP-O19</t>
  </si>
  <si>
    <t>2B-OP-O19</t>
  </si>
  <si>
    <t>3B-OP-O19</t>
  </si>
  <si>
    <t>SS-OP-O19</t>
  </si>
  <si>
    <t>D-OP-O19</t>
  </si>
  <si>
    <t>P-OP-O19</t>
  </si>
  <si>
    <t>U9</t>
    <phoneticPr fontId="3"/>
  </si>
  <si>
    <t>2B-OP-U12</t>
    <phoneticPr fontId="3"/>
  </si>
  <si>
    <t>U12</t>
    <phoneticPr fontId="3"/>
  </si>
  <si>
    <t>U15</t>
    <phoneticPr fontId="3"/>
  </si>
  <si>
    <t>S-OP-U18</t>
    <phoneticPr fontId="3"/>
  </si>
  <si>
    <t>U18</t>
    <phoneticPr fontId="3"/>
  </si>
  <si>
    <t>S-OP-O19</t>
    <phoneticPr fontId="3"/>
  </si>
  <si>
    <t>O19</t>
    <phoneticPr fontId="3"/>
  </si>
  <si>
    <t>S-C-U9</t>
    <phoneticPr fontId="3"/>
  </si>
  <si>
    <t>S-C-U12</t>
    <phoneticPr fontId="3"/>
  </si>
  <si>
    <t>2B-C-U12</t>
  </si>
  <si>
    <t>3B-C-U12</t>
  </si>
  <si>
    <t>SS-C-U12</t>
  </si>
  <si>
    <t>D-C-U12</t>
  </si>
  <si>
    <t>P-C-U12</t>
  </si>
  <si>
    <t>MS-C-U12</t>
    <phoneticPr fontId="3"/>
  </si>
  <si>
    <t>M2B-C-U12</t>
  </si>
  <si>
    <t>M2B-C-U12</t>
    <phoneticPr fontId="3"/>
  </si>
  <si>
    <t>M3B-C-U12</t>
  </si>
  <si>
    <t>M3B-C-U12</t>
    <phoneticPr fontId="3"/>
  </si>
  <si>
    <t>S-C-U15</t>
    <phoneticPr fontId="3"/>
  </si>
  <si>
    <t>2B-C-U15</t>
  </si>
  <si>
    <t>3B-C-U15</t>
  </si>
  <si>
    <t>SS-C-U15</t>
  </si>
  <si>
    <t>D-C-U15</t>
  </si>
  <si>
    <t>P-C-U15</t>
  </si>
  <si>
    <t>S-C-U18</t>
    <phoneticPr fontId="3"/>
  </si>
  <si>
    <t>2B-C-U18</t>
  </si>
  <si>
    <t>3B-C-U18</t>
  </si>
  <si>
    <t>SS-C-U18</t>
  </si>
  <si>
    <t>D-C-U18</t>
  </si>
  <si>
    <t>P-C-U18</t>
  </si>
  <si>
    <t>S-C-U22</t>
  </si>
  <si>
    <t>2B-C-U22</t>
  </si>
  <si>
    <t>3B-C-U22</t>
  </si>
  <si>
    <t>SS-C-U22</t>
  </si>
  <si>
    <t>D-C-U22</t>
  </si>
  <si>
    <t>P-C-U22</t>
  </si>
  <si>
    <t>MS-C-U18</t>
    <phoneticPr fontId="3"/>
  </si>
  <si>
    <t>M2B-C-U18</t>
  </si>
  <si>
    <t>M2B-C-U18</t>
    <phoneticPr fontId="3"/>
  </si>
  <si>
    <t>M3B-C-U18</t>
  </si>
  <si>
    <t>M3B-C-U18</t>
    <phoneticPr fontId="3"/>
  </si>
  <si>
    <t>S-C-O23</t>
    <phoneticPr fontId="3"/>
  </si>
  <si>
    <t>2B-C-O23</t>
  </si>
  <si>
    <t>3B-C-O23</t>
  </si>
  <si>
    <t>SS-C-O23</t>
  </si>
  <si>
    <t>D-C-O23</t>
  </si>
  <si>
    <t>P-C-O23</t>
  </si>
  <si>
    <t>MS-C-O19</t>
    <phoneticPr fontId="3"/>
  </si>
  <si>
    <t>MS-C-U15</t>
    <phoneticPr fontId="3"/>
  </si>
  <si>
    <t>M2B-C-U15</t>
  </si>
  <si>
    <t>M2B-C-U15</t>
    <phoneticPr fontId="3"/>
  </si>
  <si>
    <t>M3B-C-U15</t>
  </si>
  <si>
    <t>M3B-C-U15</t>
    <phoneticPr fontId="3"/>
  </si>
  <si>
    <t>P-C-U12</t>
    <phoneticPr fontId="3"/>
  </si>
  <si>
    <t>M2B-C-O19</t>
    <phoneticPr fontId="3"/>
  </si>
  <si>
    <t>M3B-C-O19</t>
    <phoneticPr fontId="3"/>
  </si>
  <si>
    <t>U-9</t>
    <phoneticPr fontId="3"/>
  </si>
  <si>
    <t>U-12</t>
    <phoneticPr fontId="3"/>
  </si>
  <si>
    <t>U-15</t>
    <phoneticPr fontId="3"/>
  </si>
  <si>
    <t>U-18</t>
    <phoneticPr fontId="3"/>
  </si>
  <si>
    <t>O-19</t>
    <phoneticPr fontId="3"/>
  </si>
  <si>
    <t>S-OP-U9</t>
    <phoneticPr fontId="4"/>
  </si>
  <si>
    <t>S-OP-U12</t>
    <phoneticPr fontId="4"/>
  </si>
  <si>
    <t>S-OP-U15</t>
    <phoneticPr fontId="4"/>
  </si>
  <si>
    <t>S-OP-U18</t>
    <phoneticPr fontId="4"/>
  </si>
  <si>
    <t>S-OP-O19</t>
    <phoneticPr fontId="4"/>
  </si>
  <si>
    <t>S-C-U9</t>
    <phoneticPr fontId="4"/>
  </si>
  <si>
    <t>S-C-U12</t>
    <phoneticPr fontId="4"/>
  </si>
  <si>
    <t>S-C-U15</t>
    <phoneticPr fontId="4"/>
  </si>
  <si>
    <t>S-C-U18</t>
    <phoneticPr fontId="4"/>
  </si>
  <si>
    <t>S-C-U22</t>
    <phoneticPr fontId="4"/>
  </si>
  <si>
    <t>S-C-O23</t>
    <phoneticPr fontId="4"/>
  </si>
  <si>
    <t>MS-C-U12</t>
    <phoneticPr fontId="4"/>
  </si>
  <si>
    <t>MS-C-U15</t>
    <phoneticPr fontId="4"/>
  </si>
  <si>
    <t>MS-C-U18</t>
    <phoneticPr fontId="4"/>
  </si>
  <si>
    <t>MS-C-O19</t>
    <phoneticPr fontId="4"/>
  </si>
  <si>
    <t>M2B-C-O19</t>
    <phoneticPr fontId="4"/>
  </si>
  <si>
    <t>M3B-C-O19</t>
    <phoneticPr fontId="4"/>
  </si>
  <si>
    <t>女子ジュニア</t>
    <rPh sb="0" eb="2">
      <t>ジョシ</t>
    </rPh>
    <phoneticPr fontId="4"/>
  </si>
  <si>
    <t>1-1</t>
  </si>
  <si>
    <t>2-1</t>
  </si>
  <si>
    <t>3-1</t>
  </si>
  <si>
    <t>4-1</t>
  </si>
  <si>
    <t>5-1</t>
  </si>
  <si>
    <t>6-1</t>
  </si>
  <si>
    <t>7-1</t>
  </si>
  <si>
    <t>7-2</t>
  </si>
  <si>
    <t>8-1</t>
  </si>
  <si>
    <t>8-2</t>
  </si>
  <si>
    <t>9-1</t>
  </si>
  <si>
    <t>9-2</t>
  </si>
  <si>
    <t>10-1</t>
  </si>
  <si>
    <t>10-2</t>
  </si>
  <si>
    <t>11-1</t>
  </si>
  <si>
    <t>11-2</t>
  </si>
  <si>
    <t>12-1</t>
  </si>
  <si>
    <t>12-2</t>
  </si>
  <si>
    <t>13-1</t>
  </si>
  <si>
    <t>13-2</t>
  </si>
  <si>
    <t>14-1</t>
  </si>
  <si>
    <t>14-2</t>
  </si>
  <si>
    <t>15-1</t>
  </si>
  <si>
    <t>15-2</t>
  </si>
  <si>
    <t>16-1</t>
  </si>
  <si>
    <t>16-2</t>
  </si>
  <si>
    <t>17-1</t>
  </si>
  <si>
    <t>17-2</t>
  </si>
  <si>
    <t>18-1</t>
  </si>
  <si>
    <t>18-2</t>
  </si>
  <si>
    <t>19-1</t>
  </si>
  <si>
    <t>19-2</t>
  </si>
  <si>
    <t>20-1</t>
  </si>
  <si>
    <t>20-2</t>
  </si>
  <si>
    <t>21-1</t>
  </si>
  <si>
    <t>21-2</t>
  </si>
  <si>
    <t>22-1</t>
  </si>
  <si>
    <t>22-2</t>
  </si>
  <si>
    <t>23-1</t>
  </si>
  <si>
    <t>23-2</t>
  </si>
  <si>
    <t>24-1</t>
  </si>
  <si>
    <t>24-2</t>
  </si>
  <si>
    <t>25-1</t>
  </si>
  <si>
    <t>25-2</t>
  </si>
  <si>
    <t>26-1</t>
  </si>
  <si>
    <t>26-2</t>
  </si>
  <si>
    <t>27-1</t>
  </si>
  <si>
    <t>27-2</t>
  </si>
  <si>
    <t>28-1</t>
  </si>
  <si>
    <t>28-2</t>
  </si>
  <si>
    <t>29-1</t>
  </si>
  <si>
    <t>29-2</t>
  </si>
  <si>
    <t>30-1</t>
  </si>
  <si>
    <t>30-2</t>
  </si>
  <si>
    <t>○を選択</t>
    <rPh sb="1" eb="3">
      <t>センタク</t>
    </rPh>
    <phoneticPr fontId="6"/>
  </si>
  <si>
    <t>選手権を選択</t>
    <rPh sb="0" eb="3">
      <t>センシュケン</t>
    </rPh>
    <rPh sb="4" eb="6">
      <t>センタク</t>
    </rPh>
    <phoneticPr fontId="6"/>
  </si>
  <si>
    <t>１チーム目の１人目を1-1、２人目は1-2と入力して下さい。２チーム目の１人目は2-1、２人目は2-2とする。</t>
    <rPh sb="4" eb="5">
      <t>メ</t>
    </rPh>
    <rPh sb="34" eb="35">
      <t>メ</t>
    </rPh>
    <rPh sb="37" eb="38">
      <t>ニン</t>
    </rPh>
    <rPh sb="38" eb="39">
      <t>メ</t>
    </rPh>
    <rPh sb="45" eb="46">
      <t>ニン</t>
    </rPh>
    <rPh sb="46" eb="47">
      <t>メ</t>
    </rPh>
    <phoneticPr fontId="4"/>
  </si>
  <si>
    <t>補欠がいる場合は、１チーム目の補欠１人目を1-補1、２人目は1-補2と入力して下さい。２チーム目の１人目は2-補1、２人目は2-補2とする。</t>
    <rPh sb="0" eb="2">
      <t>ホケツ</t>
    </rPh>
    <rPh sb="5" eb="7">
      <t>バアイ</t>
    </rPh>
    <rPh sb="15" eb="17">
      <t>ホケツ</t>
    </rPh>
    <rPh sb="23" eb="24">
      <t>ホ</t>
    </rPh>
    <rPh sb="32" eb="33">
      <t>ホ</t>
    </rPh>
    <rPh sb="55" eb="56">
      <t>ホ</t>
    </rPh>
    <rPh sb="64" eb="65">
      <t>ホ</t>
    </rPh>
    <phoneticPr fontId="4"/>
  </si>
  <si>
    <r>
      <t>ショートプログラムとフリースタイル個人の</t>
    </r>
    <r>
      <rPr>
        <b/>
        <sz val="11"/>
        <color rgb="FFFF0000"/>
        <rFont val="ＭＳ Ｐゴシック"/>
        <family val="3"/>
        <charset val="128"/>
        <scheme val="minor"/>
      </rPr>
      <t>両方に</t>
    </r>
    <r>
      <rPr>
        <sz val="11"/>
        <rFont val="ＭＳ Ｐゴシック"/>
        <family val="3"/>
        <charset val="128"/>
        <scheme val="minor"/>
      </rPr>
      <t>申込みがある選手は、ショートプログラム＆フリースタイル個人の欄で</t>
    </r>
    <rPh sb="17" eb="19">
      <t>コジン</t>
    </rPh>
    <rPh sb="20" eb="22">
      <t>リョウホウ</t>
    </rPh>
    <rPh sb="23" eb="24">
      <t>モウ</t>
    </rPh>
    <rPh sb="24" eb="25">
      <t>コ</t>
    </rPh>
    <rPh sb="29" eb="31">
      <t>センシュ</t>
    </rPh>
    <rPh sb="50" eb="52">
      <t>コジン</t>
    </rPh>
    <rPh sb="53" eb="54">
      <t>ラン</t>
    </rPh>
    <phoneticPr fontId="4"/>
  </si>
  <si>
    <t>▼から○を選んでください。（ショートプログラムのみ・フリースタイル個人のみの欄は空白にしてください）</t>
    <rPh sb="5" eb="6">
      <t>エラ</t>
    </rPh>
    <rPh sb="33" eb="35">
      <t>コジン</t>
    </rPh>
    <rPh sb="38" eb="39">
      <t>ラン</t>
    </rPh>
    <rPh sb="40" eb="42">
      <t>クウハク</t>
    </rPh>
    <phoneticPr fontId="4"/>
  </si>
  <si>
    <t>○を選択</t>
    <rPh sb="2" eb="4">
      <t>センタク</t>
    </rPh>
    <phoneticPr fontId="4"/>
  </si>
  <si>
    <r>
      <t>６種目選手権（</t>
    </r>
    <r>
      <rPr>
        <b/>
        <sz val="14"/>
        <color rgb="FFFF0000"/>
        <rFont val="ＭＳ Ｐゴシック"/>
        <family val="3"/>
        <charset val="128"/>
        <scheme val="minor"/>
      </rPr>
      <t>ペアの数字・ハイフンは半角で入力</t>
    </r>
    <r>
      <rPr>
        <b/>
        <sz val="14"/>
        <color theme="1"/>
        <rFont val="ＭＳ Ｐゴシック"/>
        <family val="3"/>
        <charset val="128"/>
        <scheme val="minor"/>
      </rPr>
      <t>）</t>
    </r>
    <rPh sb="1" eb="3">
      <t>シュモク</t>
    </rPh>
    <rPh sb="3" eb="6">
      <t>センシュケン</t>
    </rPh>
    <phoneticPr fontId="4"/>
  </si>
  <si>
    <r>
      <t>関東６種目（</t>
    </r>
    <r>
      <rPr>
        <b/>
        <sz val="14"/>
        <color rgb="FFFF0000"/>
        <rFont val="ＭＳ Ｐゴシック"/>
        <family val="3"/>
        <charset val="128"/>
        <scheme val="minor"/>
      </rPr>
      <t>ペアの数字・ハイフンは半角で入力</t>
    </r>
    <r>
      <rPr>
        <b/>
        <sz val="14"/>
        <color theme="1"/>
        <rFont val="ＭＳ Ｐゴシック"/>
        <family val="3"/>
        <charset val="128"/>
        <scheme val="minor"/>
      </rPr>
      <t>）</t>
    </r>
    <rPh sb="0" eb="2">
      <t>カントウ</t>
    </rPh>
    <rPh sb="3" eb="5">
      <t>シュモク</t>
    </rPh>
    <phoneticPr fontId="6"/>
  </si>
  <si>
    <t>U－9</t>
  </si>
  <si>
    <t>U－12</t>
  </si>
  <si>
    <t>U－15</t>
  </si>
  <si>
    <t>U－18</t>
  </si>
  <si>
    <t>U－22</t>
  </si>
  <si>
    <t>O－23</t>
  </si>
  <si>
    <t>O－19</t>
  </si>
  <si>
    <t>U－12</t>
    <phoneticPr fontId="3"/>
  </si>
  <si>
    <t>女子U－9</t>
    <rPh sb="0" eb="2">
      <t>ジョシ</t>
    </rPh>
    <phoneticPr fontId="3"/>
  </si>
  <si>
    <t>女子U－12</t>
    <rPh sb="0" eb="2">
      <t>ジョシ</t>
    </rPh>
    <phoneticPr fontId="3"/>
  </si>
  <si>
    <t>男子U－12</t>
    <rPh sb="0" eb="2">
      <t>ダンシ</t>
    </rPh>
    <phoneticPr fontId="3"/>
  </si>
  <si>
    <t>女子U－15</t>
    <rPh sb="0" eb="2">
      <t>ジョシ</t>
    </rPh>
    <phoneticPr fontId="3"/>
  </si>
  <si>
    <t>男子U－15</t>
    <rPh sb="0" eb="2">
      <t>ダンシ</t>
    </rPh>
    <phoneticPr fontId="3"/>
  </si>
  <si>
    <t>女子U－18</t>
    <rPh sb="0" eb="2">
      <t>ジョシ</t>
    </rPh>
    <phoneticPr fontId="3"/>
  </si>
  <si>
    <t>男子U－18</t>
    <rPh sb="0" eb="2">
      <t>ダンシ</t>
    </rPh>
    <phoneticPr fontId="3"/>
  </si>
  <si>
    <t>女子U－22</t>
    <rPh sb="0" eb="2">
      <t>ジョシ</t>
    </rPh>
    <phoneticPr fontId="3"/>
  </si>
  <si>
    <t>女子O－23</t>
    <rPh sb="0" eb="2">
      <t>ジョシ</t>
    </rPh>
    <phoneticPr fontId="3"/>
  </si>
  <si>
    <t>男子O－19</t>
    <rPh sb="0" eb="2">
      <t>ダンシ</t>
    </rPh>
    <phoneticPr fontId="3"/>
  </si>
  <si>
    <t>U－15</t>
    <phoneticPr fontId="3"/>
  </si>
  <si>
    <t>U－18</t>
    <phoneticPr fontId="3"/>
  </si>
  <si>
    <t>U－22</t>
    <phoneticPr fontId="3"/>
  </si>
  <si>
    <t>O－23</t>
    <phoneticPr fontId="3"/>
  </si>
  <si>
    <t>男子O－19</t>
    <phoneticPr fontId="4"/>
  </si>
  <si>
    <t>O－23</t>
    <phoneticPr fontId="4"/>
  </si>
  <si>
    <t>とうきょう　はなこ</t>
    <phoneticPr fontId="4"/>
  </si>
  <si>
    <t>とうきょう　のぞみ</t>
    <phoneticPr fontId="4"/>
  </si>
  <si>
    <t>とうきょう　けんた</t>
    <phoneticPr fontId="4"/>
  </si>
  <si>
    <t>とうきょう　たろう</t>
    <phoneticPr fontId="4"/>
  </si>
  <si>
    <t>実施種目</t>
    <rPh sb="0" eb="4">
      <t>ジッシシュモク</t>
    </rPh>
    <phoneticPr fontId="60"/>
  </si>
  <si>
    <t>6種目選手権</t>
    <rPh sb="1" eb="6">
      <t>シュモクセンシュケン</t>
    </rPh>
    <phoneticPr fontId="60"/>
  </si>
  <si>
    <t>全国共通規定</t>
    <rPh sb="0" eb="6">
      <t>ゼンコクキョウツウキテイ</t>
    </rPh>
    <phoneticPr fontId="60"/>
  </si>
  <si>
    <t>関東6種目</t>
    <rPh sb="0" eb="2">
      <t>カントウ</t>
    </rPh>
    <rPh sb="3" eb="5">
      <t>シュモク</t>
    </rPh>
    <phoneticPr fontId="60"/>
  </si>
  <si>
    <t>S</t>
    <phoneticPr fontId="60"/>
  </si>
  <si>
    <t>2B</t>
    <phoneticPr fontId="60"/>
  </si>
  <si>
    <t>3B</t>
    <phoneticPr fontId="60"/>
  </si>
  <si>
    <t>P</t>
    <phoneticPr fontId="60"/>
  </si>
  <si>
    <t>SS</t>
    <phoneticPr fontId="60"/>
  </si>
  <si>
    <t>D</t>
    <phoneticPr fontId="60"/>
  </si>
  <si>
    <t>キンダー</t>
    <phoneticPr fontId="60"/>
  </si>
  <si>
    <t>IBTF</t>
    <phoneticPr fontId="60"/>
  </si>
  <si>
    <t>AT</t>
    <phoneticPr fontId="60"/>
  </si>
  <si>
    <t>AP</t>
    <phoneticPr fontId="60"/>
  </si>
  <si>
    <t>デュエット</t>
    <phoneticPr fontId="60"/>
  </si>
  <si>
    <t>トワールチーム</t>
    <phoneticPr fontId="60"/>
  </si>
  <si>
    <t>アーティスティックチーム</t>
    <phoneticPr fontId="60"/>
  </si>
  <si>
    <t>アーティスティックグループ</t>
    <phoneticPr fontId="60"/>
  </si>
  <si>
    <t>ソロ</t>
    <phoneticPr fontId="4"/>
  </si>
  <si>
    <t>デュエット</t>
    <phoneticPr fontId="3"/>
  </si>
  <si>
    <t>トワールチーム</t>
    <phoneticPr fontId="4"/>
  </si>
  <si>
    <t>アーティスティックグループ</t>
    <phoneticPr fontId="4"/>
  </si>
  <si>
    <t>デュエット</t>
    <phoneticPr fontId="4"/>
  </si>
  <si>
    <t>ﾄﾜｰﾙﾁｰﾑ</t>
    <phoneticPr fontId="4"/>
  </si>
  <si>
    <t>ｱｰﾃｨｽﾃｨｯｸ
ｸﾞﾙｰﾌﾟ</t>
    <phoneticPr fontId="4"/>
  </si>
  <si>
    <t>ソロ</t>
    <phoneticPr fontId="3"/>
  </si>
  <si>
    <t>ｱｰﾃｨｽﾃｨｯｸﾁｰﾑ</t>
    <phoneticPr fontId="3"/>
  </si>
  <si>
    <r>
      <t>チーム種目に申込みがある選手は、選択欄の右に半角数字で以下のように</t>
    </r>
    <r>
      <rPr>
        <sz val="11"/>
        <rFont val="ＭＳ Ｐゴシック"/>
        <family val="3"/>
        <charset val="128"/>
      </rPr>
      <t>番号を入れてください。</t>
    </r>
    <rPh sb="3" eb="5">
      <t>シュモク</t>
    </rPh>
    <rPh sb="6" eb="8">
      <t>モウシコミ</t>
    </rPh>
    <rPh sb="12" eb="14">
      <t>センシュ</t>
    </rPh>
    <rPh sb="16" eb="18">
      <t>センタク</t>
    </rPh>
    <rPh sb="18" eb="19">
      <t>ラン</t>
    </rPh>
    <rPh sb="20" eb="21">
      <t>ミギ</t>
    </rPh>
    <rPh sb="22" eb="24">
      <t>ハンカク</t>
    </rPh>
    <rPh sb="24" eb="26">
      <t>スウジ</t>
    </rPh>
    <rPh sb="27" eb="29">
      <t>イカ</t>
    </rPh>
    <rPh sb="33" eb="35">
      <t>バンゴウ</t>
    </rPh>
    <rPh sb="36" eb="37">
      <t>イ</t>
    </rPh>
    <phoneticPr fontId="4"/>
  </si>
  <si>
    <t>S</t>
    <phoneticPr fontId="3"/>
  </si>
  <si>
    <t>2B</t>
    <phoneticPr fontId="3"/>
  </si>
  <si>
    <t>3B</t>
    <phoneticPr fontId="3"/>
  </si>
  <si>
    <t>DT</t>
    <phoneticPr fontId="3"/>
  </si>
  <si>
    <t>S-IB-Y</t>
    <phoneticPr fontId="3"/>
  </si>
  <si>
    <t>S-IB-Jr</t>
    <phoneticPr fontId="3"/>
  </si>
  <si>
    <t>MS-IB-Jr</t>
    <phoneticPr fontId="3"/>
  </si>
  <si>
    <t>S-IB-Sr</t>
    <phoneticPr fontId="3"/>
  </si>
  <si>
    <t>S-IB-Ad</t>
    <phoneticPr fontId="3"/>
  </si>
  <si>
    <t>MS-IB-Sr</t>
    <phoneticPr fontId="3"/>
  </si>
  <si>
    <t>2B-IB-Jr</t>
    <phoneticPr fontId="3"/>
  </si>
  <si>
    <t>M2B-IB-Jr</t>
    <phoneticPr fontId="3"/>
  </si>
  <si>
    <t>2B-IB-Sr</t>
    <phoneticPr fontId="3"/>
  </si>
  <si>
    <t>M2B-IB-Sr</t>
    <phoneticPr fontId="3"/>
  </si>
  <si>
    <t>3B-IB-Jr</t>
    <phoneticPr fontId="3"/>
  </si>
  <si>
    <t>3B-IB-Sr</t>
    <phoneticPr fontId="3"/>
  </si>
  <si>
    <t>M3B-IB-Jr</t>
    <phoneticPr fontId="3"/>
  </si>
  <si>
    <t>M3B-IB-Sr</t>
    <phoneticPr fontId="3"/>
  </si>
  <si>
    <t>DT-IB-Jr</t>
    <phoneticPr fontId="3"/>
  </si>
  <si>
    <t>DT-IB-Sr</t>
    <phoneticPr fontId="3"/>
  </si>
  <si>
    <t>AP・DT表記</t>
    <rPh sb="5" eb="7">
      <t>ヒョウキ</t>
    </rPh>
    <phoneticPr fontId="3"/>
  </si>
  <si>
    <t>ソロ（IB）</t>
    <phoneticPr fontId="4"/>
  </si>
  <si>
    <t>トゥーバトン（IB）</t>
    <phoneticPr fontId="4"/>
  </si>
  <si>
    <t>スリーバトン（IB）</t>
    <phoneticPr fontId="4"/>
  </si>
  <si>
    <t>ｱｰﾃｨｽﾃｨｯｸﾄﾜｰﾙ（IB）</t>
    <phoneticPr fontId="4"/>
  </si>
  <si>
    <t>アーティスティックペア</t>
    <phoneticPr fontId="4"/>
  </si>
  <si>
    <t>ジュニア</t>
  </si>
  <si>
    <t>シニア</t>
  </si>
  <si>
    <t>コード</t>
    <phoneticPr fontId="4"/>
  </si>
  <si>
    <t>トワールチーム</t>
    <phoneticPr fontId="3"/>
  </si>
  <si>
    <t>TT</t>
    <phoneticPr fontId="4"/>
  </si>
  <si>
    <t>S-IB-Y</t>
  </si>
  <si>
    <t>S-IB-Jr</t>
  </si>
  <si>
    <t>MS-IB-Jr</t>
  </si>
  <si>
    <t>S-IB-Sr</t>
  </si>
  <si>
    <t>S-IB-Ad</t>
  </si>
  <si>
    <t>MS-IB-Sr</t>
  </si>
  <si>
    <t>M2B-IB-Jr</t>
  </si>
  <si>
    <t>2B-IB-Sr</t>
  </si>
  <si>
    <t>M2B-IB-Sr</t>
  </si>
  <si>
    <t>2B-IB-Jr</t>
    <phoneticPr fontId="4"/>
  </si>
  <si>
    <t>2B-IB-Y</t>
    <phoneticPr fontId="4"/>
  </si>
  <si>
    <t>2B-IB-Ad</t>
    <phoneticPr fontId="4"/>
  </si>
  <si>
    <t>M3B-IB-Jr</t>
  </si>
  <si>
    <t>3B-IB-Sr</t>
  </si>
  <si>
    <t>M3B-IB-Sr</t>
  </si>
  <si>
    <t>3B-IB-Jr</t>
    <phoneticPr fontId="4"/>
  </si>
  <si>
    <t>3B-IB-Y</t>
    <phoneticPr fontId="4"/>
  </si>
  <si>
    <t>3B-IB-Ad</t>
    <phoneticPr fontId="4"/>
  </si>
  <si>
    <t>TT</t>
    <phoneticPr fontId="46"/>
  </si>
  <si>
    <t>アーティスティック
チーム</t>
    <phoneticPr fontId="3"/>
  </si>
  <si>
    <t>ペア（1人あたり）</t>
    <rPh sb="4" eb="5">
      <t>ニン</t>
    </rPh>
    <phoneticPr fontId="4"/>
  </si>
  <si>
    <t>アーティスティック
ペア（1人あたり）</t>
    <phoneticPr fontId="3"/>
  </si>
  <si>
    <t>デュエット（1人あたり）</t>
    <phoneticPr fontId="3"/>
  </si>
  <si>
    <t>IBS2B3BAT</t>
    <phoneticPr fontId="4"/>
  </si>
  <si>
    <t>AP</t>
    <phoneticPr fontId="4"/>
  </si>
  <si>
    <t>ｱｰﾃｨｽﾃｨｯｸ
ｸﾞﾙｰﾌﾟ</t>
    <phoneticPr fontId="3"/>
  </si>
  <si>
    <t>DT-IB-Jr</t>
  </si>
  <si>
    <t>DT-IB-Sr</t>
  </si>
  <si>
    <t>関東６種目は全グレードを通しての番号、選手権は選手権、IBTFペア種目はそれぞれの種目で番号をつけてください。</t>
    <rPh sb="0" eb="2">
      <t>カントウ</t>
    </rPh>
    <rPh sb="3" eb="5">
      <t>シュモク</t>
    </rPh>
    <rPh sb="6" eb="7">
      <t>ゼン</t>
    </rPh>
    <rPh sb="12" eb="13">
      <t>トオ</t>
    </rPh>
    <rPh sb="16" eb="18">
      <t>バンゴウ</t>
    </rPh>
    <rPh sb="19" eb="22">
      <t>センシュケン</t>
    </rPh>
    <rPh sb="23" eb="26">
      <t>センシュケン</t>
    </rPh>
    <rPh sb="33" eb="35">
      <t>シュモク</t>
    </rPh>
    <rPh sb="41" eb="43">
      <t>シュモク</t>
    </rPh>
    <rPh sb="44" eb="46">
      <t>バンゴウ</t>
    </rPh>
    <phoneticPr fontId="3"/>
  </si>
  <si>
    <r>
      <t>入力シートに、申込み情報を入力してください。右にスライドすると選手権・IBTF種目の申し込み欄があります。</t>
    </r>
    <r>
      <rPr>
        <b/>
        <u/>
        <sz val="11"/>
        <color rgb="FFFF0000"/>
        <rFont val="ＭＳ Ｐゴシック"/>
        <family val="3"/>
        <charset val="128"/>
        <scheme val="minor"/>
      </rPr>
      <t>グレーで塗りつぶされた種目は申し込み出来ません</t>
    </r>
    <r>
      <rPr>
        <sz val="11"/>
        <color theme="1"/>
        <rFont val="ＭＳ Ｐゴシック"/>
        <family val="3"/>
        <charset val="128"/>
        <scheme val="minor"/>
      </rPr>
      <t>。</t>
    </r>
    <rPh sb="0" eb="2">
      <t>ニュウリョク</t>
    </rPh>
    <rPh sb="7" eb="9">
      <t>モウシコミ</t>
    </rPh>
    <rPh sb="10" eb="12">
      <t>ジョウホウ</t>
    </rPh>
    <rPh sb="13" eb="15">
      <t>ニュウリョク</t>
    </rPh>
    <rPh sb="22" eb="23">
      <t>ミギ</t>
    </rPh>
    <rPh sb="31" eb="34">
      <t>センシュケン</t>
    </rPh>
    <rPh sb="39" eb="41">
      <t>シュモク</t>
    </rPh>
    <rPh sb="42" eb="43">
      <t>モウ</t>
    </rPh>
    <rPh sb="44" eb="45">
      <t>コ</t>
    </rPh>
    <rPh sb="46" eb="47">
      <t>ラン</t>
    </rPh>
    <rPh sb="56" eb="57">
      <t>ヌ</t>
    </rPh>
    <rPh sb="63" eb="65">
      <t>シュモク</t>
    </rPh>
    <rPh sb="66" eb="67">
      <t>モウ</t>
    </rPh>
    <rPh sb="68" eb="69">
      <t>コ</t>
    </rPh>
    <rPh sb="70" eb="72">
      <t>デキ</t>
    </rPh>
    <phoneticPr fontId="6"/>
  </si>
  <si>
    <t>構成員ID</t>
    <phoneticPr fontId="4"/>
  </si>
  <si>
    <t>④★団体参加費　　１団体　1,000円★</t>
    <rPh sb="2" eb="4">
      <t>ダンタイ</t>
    </rPh>
    <rPh sb="4" eb="7">
      <t>サンカヒ</t>
    </rPh>
    <rPh sb="10" eb="12">
      <t>ダンタイ</t>
    </rPh>
    <rPh sb="18" eb="19">
      <t>エン</t>
    </rPh>
    <phoneticPr fontId="3"/>
  </si>
  <si>
    <t>総合計額①+②+③+④</t>
    <rPh sb="0" eb="1">
      <t>ソウ</t>
    </rPh>
    <rPh sb="1" eb="3">
      <t>ゴウケイ</t>
    </rPh>
    <rPh sb="3" eb="4">
      <t>ガク</t>
    </rPh>
    <phoneticPr fontId="3"/>
  </si>
  <si>
    <t>【申込締切・参加費振込期限：2025年11月11日(火)】</t>
    <rPh sb="1" eb="5">
      <t>モウシコミシメキリ</t>
    </rPh>
    <rPh sb="26" eb="27">
      <t>ヒ</t>
    </rPh>
    <phoneticPr fontId="4"/>
  </si>
  <si>
    <t>セット番号等
連絡ｍａｉｌアドレス①</t>
    <rPh sb="3" eb="5">
      <t>バンゴウ</t>
    </rPh>
    <rPh sb="5" eb="6">
      <t>トウ</t>
    </rPh>
    <rPh sb="7" eb="9">
      <t>レンラク</t>
    </rPh>
    <phoneticPr fontId="4"/>
  </si>
  <si>
    <t>セット番号等
連絡ｍａｉｌアドレス②</t>
    <rPh sb="3" eb="5">
      <t>バンゴウ</t>
    </rPh>
    <rPh sb="5" eb="6">
      <t>トウ</t>
    </rPh>
    <rPh sb="7" eb="9">
      <t>レンラク</t>
    </rPh>
    <phoneticPr fontId="4"/>
  </si>
  <si>
    <t>※連絡ｍａｉｌアドレスについて、①で受信ができない場合に②のメールアドレスへ連絡いたします。</t>
    <rPh sb="1" eb="3">
      <t>レンラク</t>
    </rPh>
    <rPh sb="18" eb="20">
      <t>ジュシン</t>
    </rPh>
    <rPh sb="25" eb="27">
      <t>バアイ</t>
    </rPh>
    <rPh sb="38" eb="40">
      <t>レンラク</t>
    </rPh>
    <phoneticPr fontId="4"/>
  </si>
  <si>
    <t>※他団体所属の選手が出場する場合・出場選手が他団体へも出場する場合は、下に記載すること。</t>
    <rPh sb="1" eb="2">
      <t>タ</t>
    </rPh>
    <rPh sb="2" eb="4">
      <t>ダンタイ</t>
    </rPh>
    <rPh sb="4" eb="6">
      <t>ショゾク</t>
    </rPh>
    <rPh sb="7" eb="9">
      <t>センシュ</t>
    </rPh>
    <rPh sb="10" eb="12">
      <t>シュツジョウ</t>
    </rPh>
    <rPh sb="14" eb="16">
      <t>バアイ</t>
    </rPh>
    <rPh sb="17" eb="19">
      <t>シュツジョウ</t>
    </rPh>
    <rPh sb="19" eb="21">
      <t>センシュ</t>
    </rPh>
    <rPh sb="22" eb="23">
      <t>タ</t>
    </rPh>
    <rPh sb="23" eb="25">
      <t>ダンタイ</t>
    </rPh>
    <rPh sb="27" eb="29">
      <t>シュツジョウ</t>
    </rPh>
    <rPh sb="31" eb="33">
      <t>バアイ</t>
    </rPh>
    <rPh sb="35" eb="36">
      <t>シタ</t>
    </rPh>
    <rPh sb="37" eb="39">
      <t>キサイ</t>
    </rPh>
    <phoneticPr fontId="46"/>
  </si>
  <si>
    <t>合同ペア・合同チーム　出場選手　記入欄</t>
    <rPh sb="11" eb="13">
      <t>シュツジョウ</t>
    </rPh>
    <rPh sb="13" eb="15">
      <t>センシュ</t>
    </rPh>
    <rPh sb="16" eb="18">
      <t>キニュウ</t>
    </rPh>
    <rPh sb="18" eb="19">
      <t>ラン</t>
    </rPh>
    <phoneticPr fontId="4"/>
  </si>
  <si>
    <t>合同出場</t>
    <rPh sb="0" eb="2">
      <t>ゴウドウ</t>
    </rPh>
    <rPh sb="2" eb="4">
      <t>シュツジョウ</t>
    </rPh>
    <phoneticPr fontId="3"/>
  </si>
  <si>
    <t>参加申込に関するすべての書類は、第22回東京都バトン協会バトントワーリングコンテスト以外で使用することはありません。コンテスト終了後は直ちに破棄させていただきます。</t>
    <rPh sb="0" eb="2">
      <t>サンカ</t>
    </rPh>
    <rPh sb="2" eb="4">
      <t>モウシコミ</t>
    </rPh>
    <rPh sb="5" eb="6">
      <t>カン</t>
    </rPh>
    <rPh sb="12" eb="14">
      <t>ショルイ</t>
    </rPh>
    <rPh sb="16" eb="17">
      <t>ダイ</t>
    </rPh>
    <rPh sb="19" eb="20">
      <t>カイ</t>
    </rPh>
    <rPh sb="20" eb="23">
      <t>トウキョウト</t>
    </rPh>
    <rPh sb="26" eb="28">
      <t>キョウカイ</t>
    </rPh>
    <rPh sb="42" eb="44">
      <t>イガイ</t>
    </rPh>
    <rPh sb="45" eb="47">
      <t>シヨウ</t>
    </rPh>
    <rPh sb="63" eb="66">
      <t>シュウリョウゴ</t>
    </rPh>
    <rPh sb="67" eb="68">
      <t>タダ</t>
    </rPh>
    <rPh sb="70" eb="72">
      <t>ハキ</t>
    </rPh>
    <phoneticPr fontId="4"/>
  </si>
  <si>
    <t>フリースタイルソロ</t>
    <phoneticPr fontId="4"/>
  </si>
  <si>
    <t>2026年12月31日
年齢</t>
    <rPh sb="4" eb="5">
      <t>ネン</t>
    </rPh>
    <rPh sb="7" eb="8">
      <t>ガツ</t>
    </rPh>
    <rPh sb="10" eb="11">
      <t>ニチ</t>
    </rPh>
    <rPh sb="12" eb="14">
      <t>ネンレイ</t>
    </rPh>
    <phoneticPr fontId="3"/>
  </si>
  <si>
    <t>フリースタイルペア</t>
    <phoneticPr fontId="3"/>
  </si>
  <si>
    <r>
      <t>IBTF種目（</t>
    </r>
    <r>
      <rPr>
        <b/>
        <sz val="14"/>
        <color rgb="FFFF0000"/>
        <rFont val="ＭＳ Ｐゴシック"/>
        <family val="3"/>
        <charset val="128"/>
        <scheme val="minor"/>
      </rPr>
      <t>フリースタイルペア・フリースタイルチームの
数字・ハイフンは半角で入力</t>
    </r>
    <r>
      <rPr>
        <b/>
        <sz val="14"/>
        <color theme="1"/>
        <rFont val="ＭＳ Ｐゴシック"/>
        <family val="3"/>
        <charset val="128"/>
        <scheme val="minor"/>
      </rPr>
      <t>）</t>
    </r>
    <rPh sb="4" eb="6">
      <t>シュモク</t>
    </rPh>
    <phoneticPr fontId="4"/>
  </si>
  <si>
    <t>参加費
（フリースタイル
チーム以外）</t>
    <rPh sb="0" eb="3">
      <t>サンカヒ</t>
    </rPh>
    <rPh sb="16" eb="18">
      <t>イガイ</t>
    </rPh>
    <phoneticPr fontId="4"/>
  </si>
  <si>
    <t>第22回東京都バトン協会バトントワーリングコンテスト</t>
    <rPh sb="0" eb="1">
      <t>ダイ</t>
    </rPh>
    <rPh sb="3" eb="4">
      <t>カイ</t>
    </rPh>
    <rPh sb="4" eb="7">
      <t>トウキョウト</t>
    </rPh>
    <rPh sb="10" eb="12">
      <t>キョウカイ</t>
    </rPh>
    <phoneticPr fontId="4"/>
  </si>
  <si>
    <t>申込締切　11月11日（火）</t>
    <rPh sb="0" eb="2">
      <t>モウシコミ</t>
    </rPh>
    <rPh sb="2" eb="4">
      <t>シメキリ</t>
    </rPh>
    <rPh sb="7" eb="8">
      <t>ガツ</t>
    </rPh>
    <rPh sb="10" eb="11">
      <t>ニチ</t>
    </rPh>
    <rPh sb="12" eb="13">
      <t>ヒ</t>
    </rPh>
    <phoneticPr fontId="4"/>
  </si>
  <si>
    <t>ﾌﾘｰｽﾀｲﾙ
ｿﾛ</t>
    <phoneticPr fontId="4"/>
  </si>
  <si>
    <t>ﾌﾘｰｽﾀｲﾙ
ﾍﾟｱ</t>
    <phoneticPr fontId="4"/>
  </si>
  <si>
    <t>ﾌﾘｰｽﾀｲﾙ
ﾁｰﾑ</t>
    <phoneticPr fontId="4"/>
  </si>
  <si>
    <t>第22回東京都バトン協会バトントワーリングコンテスト　参 加 費 申 込 書</t>
    <rPh sb="27" eb="28">
      <t>サン</t>
    </rPh>
    <rPh sb="29" eb="30">
      <t>カ</t>
    </rPh>
    <rPh sb="31" eb="32">
      <t>ヒ</t>
    </rPh>
    <rPh sb="33" eb="34">
      <t>サル</t>
    </rPh>
    <rPh sb="35" eb="36">
      <t>コミ</t>
    </rPh>
    <rPh sb="37" eb="38">
      <t>ショ</t>
    </rPh>
    <phoneticPr fontId="3"/>
  </si>
  <si>
    <t>連絡mailアドレス①</t>
    <rPh sb="0" eb="2">
      <t>レンラク</t>
    </rPh>
    <phoneticPr fontId="3"/>
  </si>
  <si>
    <t>連絡mailアドレス②</t>
    <rPh sb="0" eb="2">
      <t>レンラク</t>
    </rPh>
    <phoneticPr fontId="3"/>
  </si>
  <si>
    <t>ﾌﾘｰｽﾀｲﾙｿﾛ</t>
    <phoneticPr fontId="3"/>
  </si>
  <si>
    <t>FS</t>
    <phoneticPr fontId="3"/>
  </si>
  <si>
    <t>FP</t>
    <phoneticPr fontId="3"/>
  </si>
  <si>
    <t>FS-IB-Jr</t>
  </si>
  <si>
    <t>FS-IB-Jr</t>
    <phoneticPr fontId="3"/>
  </si>
  <si>
    <t>MFS-IB-Jr</t>
  </si>
  <si>
    <t>MFS-IB-Jr</t>
    <phoneticPr fontId="3"/>
  </si>
  <si>
    <t>FS-IB-Sr</t>
  </si>
  <si>
    <t>FS-IB-Sr</t>
    <phoneticPr fontId="3"/>
  </si>
  <si>
    <t>MFS-IB-Sr</t>
  </si>
  <si>
    <t>MFS-IB-Sr</t>
    <phoneticPr fontId="3"/>
  </si>
  <si>
    <t>FP-IB-Jr</t>
    <phoneticPr fontId="3"/>
  </si>
  <si>
    <t>FP-IB-Sr</t>
    <phoneticPr fontId="3"/>
  </si>
  <si>
    <t>フリースタイルチーム</t>
    <phoneticPr fontId="4"/>
  </si>
  <si>
    <t>FS-IB-Y</t>
  </si>
  <si>
    <t>FS-IB-Ad</t>
  </si>
  <si>
    <t>FP-IB-Jr</t>
    <phoneticPr fontId="4"/>
  </si>
  <si>
    <t>FP-IB-Sr</t>
    <phoneticPr fontId="4"/>
  </si>
  <si>
    <t>ﾌﾘｰｽﾀｲﾙﾍﾟｱ</t>
    <phoneticPr fontId="3"/>
  </si>
  <si>
    <t>ﾌﾘｰｽﾀｲﾙﾁｰﾑ</t>
    <phoneticPr fontId="3"/>
  </si>
  <si>
    <t>※参加申込書の提出と参加費の振込は日にちを空けず、1週間以内に両方の手続きを行うこと。</t>
    <rPh sb="1" eb="6">
      <t>サンカモウシコミショ</t>
    </rPh>
    <rPh sb="7" eb="9">
      <t>テイシュツ</t>
    </rPh>
    <rPh sb="10" eb="13">
      <t>サンカヒ</t>
    </rPh>
    <rPh sb="14" eb="16">
      <t>フリコミ</t>
    </rPh>
    <rPh sb="17" eb="18">
      <t>ヒ</t>
    </rPh>
    <rPh sb="21" eb="22">
      <t>ア</t>
    </rPh>
    <rPh sb="26" eb="30">
      <t>シュウカンイナイ</t>
    </rPh>
    <rPh sb="31" eb="33">
      <t>リョウホウ</t>
    </rPh>
    <rPh sb="34" eb="36">
      <t>テツヅ</t>
    </rPh>
    <rPh sb="38" eb="39">
      <t>オコナ</t>
    </rPh>
    <phoneticPr fontId="3"/>
  </si>
  <si>
    <t>FT</t>
    <phoneticPr fontId="4"/>
  </si>
  <si>
    <t>フリースタイル　チーム</t>
    <phoneticPr fontId="3"/>
  </si>
  <si>
    <t>FT</t>
    <phoneticPr fontId="46"/>
  </si>
  <si>
    <t>女子U－18</t>
    <rPh sb="0" eb="2">
      <t>ジョシ</t>
    </rPh>
    <phoneticPr fontId="4"/>
  </si>
  <si>
    <t>女子O－23</t>
  </si>
  <si>
    <t>女子O－23</t>
    <phoneticPr fontId="4"/>
  </si>
  <si>
    <t>女子シニア</t>
    <rPh sb="0" eb="2">
      <t>ジョシ</t>
    </rPh>
    <phoneticPr fontId="4"/>
  </si>
  <si>
    <t>【参加費振込期限：2025年11月11日(火)】</t>
    <rPh sb="21" eb="22">
      <t>ヒ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</si>
</sst>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¥&quot;#,##0;&quot;¥&quot;\-#,##0"/>
    <numFmt numFmtId="176" formatCode="[$-F800]dddd\,\ mmmm\ dd\,\ yyyy"/>
    <numFmt numFmtId="177" formatCode="0_);[Red]\(0\)"/>
    <numFmt numFmtId="178" formatCode="00000000"/>
    <numFmt numFmtId="179" formatCode="0000000"/>
  </numFmts>
  <fonts count="70" x14ac:knownFonts="1">
    <font>
      <sz val="11"/>
      <color theme="1"/>
      <name val="ＭＳ Ｐゴシック"/>
      <family val="3"/>
      <charset val="128"/>
      <scheme val="minor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24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2"/>
      <color rgb="FF333333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3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b/>
      <sz val="18"/>
      <color rgb="FFFF0000"/>
      <name val="ＭＳ Ｐゴシック"/>
      <family val="3"/>
      <charset val="128"/>
      <scheme val="minor"/>
    </font>
    <font>
      <b/>
      <sz val="11"/>
      <color theme="4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rgb="FF333333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u/>
      <sz val="12"/>
      <color rgb="FFFF0000"/>
      <name val="ＭＳ Ｐゴシック"/>
      <family val="3"/>
      <charset val="128"/>
      <scheme val="minor"/>
    </font>
    <font>
      <u/>
      <sz val="12"/>
      <name val="ＭＳ Ｐゴシック"/>
      <family val="3"/>
      <charset val="128"/>
    </font>
    <font>
      <b/>
      <sz val="16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sz val="6"/>
      <color theme="1"/>
      <name val="ＭＳ Ｐゴシック"/>
      <family val="3"/>
      <charset val="128"/>
      <scheme val="minor"/>
    </font>
    <font>
      <sz val="16"/>
      <color rgb="FFFF000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b/>
      <sz val="16"/>
      <color theme="0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6"/>
      <color rgb="FFCCFFCC"/>
      <name val="ＭＳ Ｐゴシック"/>
      <family val="3"/>
      <charset val="128"/>
      <scheme val="minor"/>
    </font>
    <font>
      <b/>
      <sz val="10"/>
      <color rgb="FFCCFFCC"/>
      <name val="ＭＳ Ｐゴシック"/>
      <family val="3"/>
      <charset val="128"/>
      <scheme val="minor"/>
    </font>
    <font>
      <b/>
      <sz val="11"/>
      <color rgb="FFCCFFCC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b/>
      <u/>
      <sz val="11"/>
      <color rgb="FFFF0000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2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diagonalUp="1">
      <left style="medium">
        <color indexed="64"/>
      </left>
      <right style="medium">
        <color indexed="64"/>
      </right>
      <top/>
      <bottom/>
      <diagonal style="thin">
        <color indexed="64"/>
      </diagonal>
    </border>
    <border diagonalUp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 diagonalUp="1">
      <left style="thin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 style="thin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Dashed">
        <color indexed="64"/>
      </left>
      <right/>
      <top style="mediumDashed">
        <color indexed="64"/>
      </top>
      <bottom style="mediumDashed">
        <color indexed="64"/>
      </bottom>
      <diagonal/>
    </border>
    <border>
      <left/>
      <right style="mediumDashed">
        <color indexed="64"/>
      </right>
      <top style="mediumDashed">
        <color indexed="64"/>
      </top>
      <bottom style="mediumDashed">
        <color indexed="64"/>
      </bottom>
      <diagonal/>
    </border>
    <border>
      <left/>
      <right/>
      <top style="mediumDashed">
        <color indexed="64"/>
      </top>
      <bottom style="mediumDashed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n">
        <color indexed="64"/>
      </right>
      <top style="thick">
        <color rgb="FFFF0000"/>
      </top>
      <bottom/>
      <diagonal/>
    </border>
    <border>
      <left style="thin">
        <color indexed="64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/>
      <bottom/>
      <diagonal/>
    </border>
    <border>
      <left style="thin">
        <color indexed="64"/>
      </left>
      <right style="thick">
        <color rgb="FFFF0000"/>
      </right>
      <top/>
      <bottom/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/>
      <bottom style="thick">
        <color rgb="FFFF0000"/>
      </bottom>
      <diagonal/>
    </border>
    <border>
      <left style="thin">
        <color indexed="64"/>
      </left>
      <right style="thick">
        <color rgb="FFFF0000"/>
      </right>
      <top/>
      <bottom style="thick">
        <color rgb="FFFF0000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/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thick">
        <color rgb="FFFF0000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/>
      <top style="thin">
        <color indexed="64"/>
      </top>
      <bottom style="medium">
        <color rgb="FFFF0000"/>
      </bottom>
      <diagonal/>
    </border>
    <border>
      <left/>
      <right/>
      <top style="thin">
        <color indexed="64"/>
      </top>
      <bottom style="medium">
        <color rgb="FFFF0000"/>
      </bottom>
      <diagonal/>
    </border>
    <border>
      <left/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medium">
        <color rgb="FFFF0000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medium">
        <color rgb="FFFF0000"/>
      </right>
      <top/>
      <bottom style="thin">
        <color indexed="64"/>
      </bottom>
      <diagonal style="thin">
        <color indexed="64"/>
      </diagonal>
    </border>
    <border>
      <left style="medium">
        <color rgb="FFFF0000"/>
      </left>
      <right style="thin">
        <color indexed="64"/>
      </right>
      <top style="medium">
        <color rgb="FFFF0000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double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double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 diagonalUp="1">
      <left style="medium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 diagonalUp="1">
      <left style="medium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rgb="FFFF0000"/>
      </top>
      <bottom style="thin">
        <color auto="1"/>
      </bottom>
      <diagonal/>
    </border>
    <border>
      <left style="thin">
        <color auto="1"/>
      </left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medium">
        <color indexed="64"/>
      </right>
      <top/>
      <bottom/>
      <diagonal style="thin">
        <color indexed="64"/>
      </diagonal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n">
        <color auto="1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medium">
        <color rgb="FFFF0000"/>
      </top>
      <bottom/>
      <diagonal/>
    </border>
    <border diagonalUp="1"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Up="1">
      <left/>
      <right style="hair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/>
      <right style="mediumDashed">
        <color indexed="64"/>
      </right>
      <top/>
      <bottom/>
      <diagonal/>
    </border>
    <border diagonalUp="1">
      <left/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rgb="FFFF0000"/>
      </top>
      <bottom style="thin">
        <color auto="1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medium">
        <color indexed="64"/>
      </top>
      <bottom/>
      <diagonal style="thin">
        <color indexed="64"/>
      </diagonal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 style="thin">
        <color indexed="64"/>
      </left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  <xf numFmtId="0" fontId="22" fillId="0" borderId="0">
      <alignment vertical="center"/>
    </xf>
    <xf numFmtId="0" fontId="69" fillId="0" borderId="0" applyNumberFormat="0" applyFill="0" applyBorder="0" applyAlignment="0" applyProtection="0">
      <alignment vertical="center"/>
    </xf>
  </cellStyleXfs>
  <cellXfs count="12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2"/>
    <xf numFmtId="0" fontId="10" fillId="0" borderId="0" xfId="2" applyFont="1" applyAlignment="1">
      <alignment horizontal="center"/>
    </xf>
    <xf numFmtId="0" fontId="9" fillId="0" borderId="0" xfId="2" applyFont="1" applyAlignment="1">
      <alignment horizontal="center"/>
    </xf>
    <xf numFmtId="0" fontId="8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center"/>
    </xf>
    <xf numFmtId="0" fontId="9" fillId="0" borderId="0" xfId="2" applyFont="1" applyAlignment="1">
      <alignment horizontal="center" vertical="center"/>
    </xf>
    <xf numFmtId="0" fontId="10" fillId="0" borderId="1" xfId="2" applyFont="1" applyBorder="1"/>
    <xf numFmtId="0" fontId="10" fillId="0" borderId="0" xfId="2" applyFont="1" applyAlignment="1">
      <alignment horizontal="left"/>
    </xf>
    <xf numFmtId="0" fontId="15" fillId="0" borderId="2" xfId="2" applyFont="1" applyBorder="1" applyAlignment="1">
      <alignment horizontal="center"/>
    </xf>
    <xf numFmtId="0" fontId="25" fillId="0" borderId="0" xfId="0" applyFont="1">
      <alignment vertical="center"/>
    </xf>
    <xf numFmtId="0" fontId="5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38" fontId="22" fillId="0" borderId="0" xfId="1">
      <alignment vertical="center"/>
    </xf>
    <xf numFmtId="0" fontId="12" fillId="0" borderId="10" xfId="0" applyFont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shrinkToFit="1"/>
    </xf>
    <xf numFmtId="0" fontId="12" fillId="0" borderId="12" xfId="0" applyFont="1" applyBorder="1" applyAlignment="1">
      <alignment horizontal="center"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177" fontId="0" fillId="0" borderId="0" xfId="0" applyNumberFormat="1">
      <alignment vertical="center"/>
    </xf>
    <xf numFmtId="177" fontId="12" fillId="4" borderId="24" xfId="0" applyNumberFormat="1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177" fontId="12" fillId="0" borderId="26" xfId="0" applyNumberFormat="1" applyFont="1" applyBorder="1" applyAlignment="1">
      <alignment horizontal="center" vertical="center"/>
    </xf>
    <xf numFmtId="177" fontId="12" fillId="0" borderId="27" xfId="1" applyNumberFormat="1" applyFont="1" applyBorder="1" applyAlignment="1">
      <alignment horizontal="center" vertical="center"/>
    </xf>
    <xf numFmtId="177" fontId="12" fillId="0" borderId="28" xfId="0" applyNumberFormat="1" applyFont="1" applyBorder="1" applyAlignment="1">
      <alignment horizontal="center" vertical="center"/>
    </xf>
    <xf numFmtId="177" fontId="12" fillId="0" borderId="0" xfId="0" applyNumberFormat="1" applyFont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26" fillId="0" borderId="0" xfId="0" applyFont="1">
      <alignment vertical="center"/>
    </xf>
    <xf numFmtId="0" fontId="0" fillId="0" borderId="30" xfId="0" applyBorder="1">
      <alignment vertical="center"/>
    </xf>
    <xf numFmtId="38" fontId="22" fillId="0" borderId="31" xfId="1" applyBorder="1">
      <alignment vertical="center"/>
    </xf>
    <xf numFmtId="38" fontId="22" fillId="0" borderId="29" xfId="1" applyBorder="1">
      <alignment vertical="center"/>
    </xf>
    <xf numFmtId="176" fontId="0" fillId="0" borderId="32" xfId="0" applyNumberFormat="1" applyBorder="1" applyAlignment="1" applyProtection="1">
      <alignment horizontal="center" vertical="center"/>
      <protection locked="0"/>
    </xf>
    <xf numFmtId="0" fontId="12" fillId="0" borderId="11" xfId="0" applyFont="1" applyBorder="1" applyAlignment="1">
      <alignment horizontal="center" vertical="center"/>
    </xf>
    <xf numFmtId="0" fontId="27" fillId="0" borderId="0" xfId="0" applyFont="1">
      <alignment vertical="center"/>
    </xf>
    <xf numFmtId="0" fontId="0" fillId="0" borderId="34" xfId="0" applyBorder="1">
      <alignment vertical="center"/>
    </xf>
    <xf numFmtId="0" fontId="0" fillId="0" borderId="22" xfId="0" applyBorder="1">
      <alignment vertical="center"/>
    </xf>
    <xf numFmtId="176" fontId="0" fillId="0" borderId="5" xfId="0" applyNumberFormat="1" applyBorder="1" applyAlignment="1">
      <alignment horizontal="center" vertical="center"/>
    </xf>
    <xf numFmtId="176" fontId="0" fillId="0" borderId="5" xfId="0" applyNumberFormat="1" applyBorder="1" applyAlignment="1" applyProtection="1">
      <alignment horizontal="center" vertical="center"/>
      <protection locked="0"/>
    </xf>
    <xf numFmtId="0" fontId="12" fillId="0" borderId="37" xfId="0" applyFont="1" applyBorder="1" applyAlignment="1">
      <alignment horizontal="center" vertical="center"/>
    </xf>
    <xf numFmtId="176" fontId="0" fillId="0" borderId="38" xfId="0" applyNumberFormat="1" applyBorder="1" applyAlignment="1" applyProtection="1">
      <alignment horizontal="center" vertical="center"/>
      <protection locked="0"/>
    </xf>
    <xf numFmtId="0" fontId="12" fillId="0" borderId="40" xfId="0" applyFont="1" applyBorder="1" applyAlignment="1">
      <alignment horizontal="center" vertical="center"/>
    </xf>
    <xf numFmtId="49" fontId="0" fillId="0" borderId="15" xfId="0" applyNumberFormat="1" applyBorder="1" applyAlignment="1" applyProtection="1">
      <alignment horizontal="center" vertical="center"/>
      <protection locked="0"/>
    </xf>
    <xf numFmtId="0" fontId="28" fillId="0" borderId="16" xfId="0" applyFont="1" applyBorder="1" applyAlignment="1">
      <alignment horizontal="center" vertical="center"/>
    </xf>
    <xf numFmtId="176" fontId="0" fillId="0" borderId="44" xfId="0" applyNumberFormat="1" applyBorder="1" applyAlignment="1">
      <alignment horizontal="center" vertical="center"/>
    </xf>
    <xf numFmtId="0" fontId="23" fillId="0" borderId="22" xfId="0" applyFont="1" applyBorder="1">
      <alignment vertical="center"/>
    </xf>
    <xf numFmtId="0" fontId="0" fillId="0" borderId="3" xfId="0" applyBorder="1">
      <alignment vertical="center"/>
    </xf>
    <xf numFmtId="0" fontId="0" fillId="0" borderId="52" xfId="0" applyBorder="1" applyAlignment="1">
      <alignment horizontal="center" vertical="center"/>
    </xf>
    <xf numFmtId="49" fontId="0" fillId="0" borderId="0" xfId="0" applyNumberFormat="1">
      <alignment vertical="center"/>
    </xf>
    <xf numFmtId="0" fontId="0" fillId="4" borderId="54" xfId="0" applyFill="1" applyBorder="1" applyAlignment="1">
      <alignment horizontal="center" vertical="center"/>
    </xf>
    <xf numFmtId="0" fontId="0" fillId="7" borderId="54" xfId="0" applyFill="1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4" borderId="29" xfId="0" applyFill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29" fillId="0" borderId="0" xfId="0" applyFont="1">
      <alignment vertical="center"/>
    </xf>
    <xf numFmtId="0" fontId="29" fillId="0" borderId="0" xfId="0" applyFont="1" applyAlignment="1">
      <alignment horizontal="center" vertical="center"/>
    </xf>
    <xf numFmtId="176" fontId="29" fillId="0" borderId="0" xfId="0" applyNumberFormat="1" applyFont="1">
      <alignment vertical="center"/>
    </xf>
    <xf numFmtId="0" fontId="0" fillId="0" borderId="59" xfId="0" applyBorder="1" applyAlignment="1">
      <alignment horizontal="center" vertical="center"/>
    </xf>
    <xf numFmtId="176" fontId="0" fillId="0" borderId="45" xfId="0" applyNumberFormat="1" applyBorder="1" applyAlignment="1">
      <alignment horizontal="center" vertical="center"/>
    </xf>
    <xf numFmtId="0" fontId="0" fillId="0" borderId="58" xfId="0" applyBorder="1">
      <alignment vertical="center"/>
    </xf>
    <xf numFmtId="0" fontId="0" fillId="0" borderId="59" xfId="0" applyBorder="1">
      <alignment vertical="center"/>
    </xf>
    <xf numFmtId="177" fontId="12" fillId="8" borderId="3" xfId="0" applyNumberFormat="1" applyFont="1" applyFill="1" applyBorder="1" applyAlignment="1">
      <alignment horizontal="center" vertical="center"/>
    </xf>
    <xf numFmtId="177" fontId="18" fillId="8" borderId="3" xfId="0" applyNumberFormat="1" applyFont="1" applyFill="1" applyBorder="1" applyAlignment="1">
      <alignment horizontal="center" vertical="center" wrapText="1"/>
    </xf>
    <xf numFmtId="49" fontId="0" fillId="8" borderId="0" xfId="0" applyNumberFormat="1" applyFill="1" applyAlignment="1">
      <alignment horizontal="center" vertical="center"/>
    </xf>
    <xf numFmtId="49" fontId="0" fillId="8" borderId="46" xfId="0" applyNumberFormat="1" applyFill="1" applyBorder="1" applyAlignment="1">
      <alignment horizontal="center" vertical="center"/>
    </xf>
    <xf numFmtId="49" fontId="0" fillId="8" borderId="49" xfId="0" applyNumberFormat="1" applyFill="1" applyBorder="1" applyAlignment="1">
      <alignment horizontal="center" vertical="center"/>
    </xf>
    <xf numFmtId="49" fontId="0" fillId="8" borderId="1" xfId="0" applyNumberFormat="1" applyFill="1" applyBorder="1" applyAlignment="1">
      <alignment horizontal="center" vertical="center"/>
    </xf>
    <xf numFmtId="177" fontId="12" fillId="9" borderId="54" xfId="0" applyNumberFormat="1" applyFont="1" applyFill="1" applyBorder="1" applyAlignment="1">
      <alignment horizontal="center" vertical="center"/>
    </xf>
    <xf numFmtId="177" fontId="12" fillId="9" borderId="12" xfId="0" applyNumberFormat="1" applyFont="1" applyFill="1" applyBorder="1" applyAlignment="1">
      <alignment horizontal="center" vertical="center"/>
    </xf>
    <xf numFmtId="0" fontId="26" fillId="9" borderId="0" xfId="0" applyFont="1" applyFill="1">
      <alignment vertical="center"/>
    </xf>
    <xf numFmtId="0" fontId="28" fillId="9" borderId="70" xfId="0" applyFont="1" applyFill="1" applyBorder="1" applyAlignment="1">
      <alignment horizontal="center" vertical="center"/>
    </xf>
    <xf numFmtId="177" fontId="12" fillId="9" borderId="25" xfId="0" applyNumberFormat="1" applyFont="1" applyFill="1" applyBorder="1" applyAlignment="1">
      <alignment horizontal="center" vertical="center"/>
    </xf>
    <xf numFmtId="177" fontId="18" fillId="9" borderId="25" xfId="0" applyNumberFormat="1" applyFont="1" applyFill="1" applyBorder="1" applyAlignment="1">
      <alignment horizontal="center" vertical="center" wrapText="1"/>
    </xf>
    <xf numFmtId="177" fontId="12" fillId="9" borderId="71" xfId="0" applyNumberFormat="1" applyFont="1" applyFill="1" applyBorder="1" applyAlignment="1">
      <alignment horizontal="center" vertical="center"/>
    </xf>
    <xf numFmtId="49" fontId="0" fillId="9" borderId="72" xfId="0" applyNumberFormat="1" applyFill="1" applyBorder="1" applyAlignment="1">
      <alignment horizontal="center" vertical="center"/>
    </xf>
    <xf numFmtId="0" fontId="26" fillId="9" borderId="72" xfId="0" applyFont="1" applyFill="1" applyBorder="1">
      <alignment vertical="center"/>
    </xf>
    <xf numFmtId="49" fontId="0" fillId="9" borderId="46" xfId="0" applyNumberFormat="1" applyFill="1" applyBorder="1" applyAlignment="1">
      <alignment horizontal="center" vertical="center"/>
    </xf>
    <xf numFmtId="0" fontId="26" fillId="9" borderId="46" xfId="0" applyFont="1" applyFill="1" applyBorder="1">
      <alignment vertical="center"/>
    </xf>
    <xf numFmtId="49" fontId="0" fillId="9" borderId="49" xfId="0" applyNumberFormat="1" applyFill="1" applyBorder="1" applyAlignment="1">
      <alignment horizontal="center" vertical="center"/>
    </xf>
    <xf numFmtId="0" fontId="26" fillId="9" borderId="49" xfId="0" applyFont="1" applyFill="1" applyBorder="1">
      <alignment vertical="center"/>
    </xf>
    <xf numFmtId="49" fontId="0" fillId="9" borderId="1" xfId="0" applyNumberFormat="1" applyFill="1" applyBorder="1" applyAlignment="1">
      <alignment horizontal="center" vertical="center"/>
    </xf>
    <xf numFmtId="177" fontId="12" fillId="4" borderId="54" xfId="0" applyNumberFormat="1" applyFont="1" applyFill="1" applyBorder="1" applyAlignment="1">
      <alignment horizontal="center" vertical="center"/>
    </xf>
    <xf numFmtId="177" fontId="12" fillId="4" borderId="12" xfId="0" applyNumberFormat="1" applyFont="1" applyFill="1" applyBorder="1" applyAlignment="1">
      <alignment horizontal="center" vertical="center"/>
    </xf>
    <xf numFmtId="0" fontId="26" fillId="4" borderId="0" xfId="0" applyFont="1" applyFill="1">
      <alignment vertical="center"/>
    </xf>
    <xf numFmtId="0" fontId="28" fillId="4" borderId="70" xfId="0" applyFont="1" applyFill="1" applyBorder="1" applyAlignment="1">
      <alignment horizontal="center" vertical="center"/>
    </xf>
    <xf numFmtId="177" fontId="12" fillId="4" borderId="25" xfId="0" applyNumberFormat="1" applyFont="1" applyFill="1" applyBorder="1" applyAlignment="1">
      <alignment horizontal="center" vertical="center"/>
    </xf>
    <xf numFmtId="177" fontId="18" fillId="4" borderId="25" xfId="0" applyNumberFormat="1" applyFont="1" applyFill="1" applyBorder="1" applyAlignment="1">
      <alignment horizontal="center" vertical="center" wrapText="1"/>
    </xf>
    <xf numFmtId="177" fontId="12" fillId="4" borderId="71" xfId="0" applyNumberFormat="1" applyFont="1" applyFill="1" applyBorder="1" applyAlignment="1">
      <alignment horizontal="center" vertical="center"/>
    </xf>
    <xf numFmtId="49" fontId="0" fillId="4" borderId="72" xfId="0" applyNumberFormat="1" applyFill="1" applyBorder="1" applyAlignment="1">
      <alignment horizontal="center" vertical="center"/>
    </xf>
    <xf numFmtId="0" fontId="26" fillId="4" borderId="72" xfId="0" applyFont="1" applyFill="1" applyBorder="1">
      <alignment vertical="center"/>
    </xf>
    <xf numFmtId="49" fontId="0" fillId="4" borderId="46" xfId="0" applyNumberFormat="1" applyFill="1" applyBorder="1" applyAlignment="1">
      <alignment horizontal="center" vertical="center"/>
    </xf>
    <xf numFmtId="0" fontId="26" fillId="4" borderId="46" xfId="0" applyFont="1" applyFill="1" applyBorder="1">
      <alignment vertical="center"/>
    </xf>
    <xf numFmtId="49" fontId="0" fillId="4" borderId="49" xfId="0" applyNumberFormat="1" applyFill="1" applyBorder="1" applyAlignment="1">
      <alignment horizontal="center" vertical="center"/>
    </xf>
    <xf numFmtId="0" fontId="26" fillId="4" borderId="49" xfId="0" applyFont="1" applyFill="1" applyBorder="1">
      <alignment vertical="center"/>
    </xf>
    <xf numFmtId="49" fontId="0" fillId="4" borderId="1" xfId="0" applyNumberFormat="1" applyFill="1" applyBorder="1" applyAlignment="1">
      <alignment horizontal="center" vertical="center"/>
    </xf>
    <xf numFmtId="177" fontId="12" fillId="0" borderId="28" xfId="1" applyNumberFormat="1" applyFont="1" applyBorder="1" applyAlignment="1">
      <alignment horizontal="center" vertical="center"/>
    </xf>
    <xf numFmtId="38" fontId="12" fillId="0" borderId="75" xfId="1" applyFont="1" applyBorder="1" applyAlignment="1">
      <alignment horizontal="center" vertical="center"/>
    </xf>
    <xf numFmtId="38" fontId="22" fillId="0" borderId="70" xfId="1" applyBorder="1">
      <alignment vertical="center"/>
    </xf>
    <xf numFmtId="0" fontId="2" fillId="0" borderId="47" xfId="2" applyBorder="1" applyAlignment="1">
      <alignment horizontal="center"/>
    </xf>
    <xf numFmtId="0" fontId="2" fillId="0" borderId="49" xfId="2" applyBorder="1" applyAlignment="1">
      <alignment horizontal="center"/>
    </xf>
    <xf numFmtId="0" fontId="12" fillId="0" borderId="46" xfId="2" applyFont="1" applyBorder="1" applyAlignment="1">
      <alignment horizontal="center"/>
    </xf>
    <xf numFmtId="0" fontId="2" fillId="0" borderId="0" xfId="2" applyAlignment="1">
      <alignment horizontal="left"/>
    </xf>
    <xf numFmtId="0" fontId="15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9" fillId="0" borderId="0" xfId="2" applyFont="1" applyAlignment="1">
      <alignment horizontal="left" vertical="center"/>
    </xf>
    <xf numFmtId="3" fontId="2" fillId="0" borderId="46" xfId="2" applyNumberFormat="1" applyBorder="1"/>
    <xf numFmtId="3" fontId="2" fillId="0" borderId="47" xfId="2" applyNumberFormat="1" applyBorder="1"/>
    <xf numFmtId="0" fontId="2" fillId="0" borderId="46" xfId="2" applyBorder="1"/>
    <xf numFmtId="0" fontId="27" fillId="0" borderId="77" xfId="0" applyFont="1" applyBorder="1" applyAlignment="1">
      <alignment vertical="center" wrapText="1"/>
    </xf>
    <xf numFmtId="0" fontId="27" fillId="0" borderId="67" xfId="0" applyFont="1" applyBorder="1" applyAlignment="1">
      <alignment vertical="center" wrapText="1"/>
    </xf>
    <xf numFmtId="0" fontId="12" fillId="0" borderId="25" xfId="0" applyFont="1" applyBorder="1" applyAlignment="1">
      <alignment horizontal="center" vertical="center" shrinkToFit="1"/>
    </xf>
    <xf numFmtId="0" fontId="2" fillId="0" borderId="0" xfId="2" applyProtection="1">
      <protection locked="0"/>
    </xf>
    <xf numFmtId="0" fontId="2" fillId="0" borderId="0" xfId="2" applyAlignment="1" applyProtection="1">
      <alignment horizontal="center"/>
      <protection locked="0"/>
    </xf>
    <xf numFmtId="0" fontId="30" fillId="0" borderId="0" xfId="4" applyFont="1" applyAlignment="1">
      <alignment horizontal="right" vertical="center"/>
    </xf>
    <xf numFmtId="0" fontId="30" fillId="0" borderId="0" xfId="4" applyFont="1" applyAlignment="1">
      <alignment horizontal="left" vertical="center"/>
    </xf>
    <xf numFmtId="0" fontId="25" fillId="0" borderId="0" xfId="4" applyFont="1" applyAlignment="1">
      <alignment horizontal="center" vertical="center"/>
    </xf>
    <xf numFmtId="0" fontId="31" fillId="0" borderId="4" xfId="4" applyFont="1" applyBorder="1" applyAlignment="1">
      <alignment horizontal="center" vertical="center"/>
    </xf>
    <xf numFmtId="0" fontId="31" fillId="0" borderId="8" xfId="4" applyFont="1" applyBorder="1" applyAlignment="1">
      <alignment horizontal="center" vertical="center"/>
    </xf>
    <xf numFmtId="0" fontId="31" fillId="0" borderId="78" xfId="4" applyFont="1" applyBorder="1" applyAlignment="1">
      <alignment horizontal="center" vertical="center"/>
    </xf>
    <xf numFmtId="0" fontId="32" fillId="0" borderId="0" xfId="4" applyFont="1" applyProtection="1">
      <alignment vertical="center"/>
      <protection locked="0"/>
    </xf>
    <xf numFmtId="0" fontId="31" fillId="0" borderId="78" xfId="4" applyFont="1" applyBorder="1" applyAlignment="1">
      <alignment horizontal="center" vertical="center" wrapText="1"/>
    </xf>
    <xf numFmtId="0" fontId="22" fillId="0" borderId="0" xfId="4">
      <alignment vertical="center"/>
    </xf>
    <xf numFmtId="0" fontId="27" fillId="0" borderId="0" xfId="4" applyFont="1" applyAlignment="1">
      <alignment horizontal="left" vertical="center"/>
    </xf>
    <xf numFmtId="0" fontId="22" fillId="0" borderId="0" xfId="4" applyAlignment="1">
      <alignment horizontal="center" vertical="center"/>
    </xf>
    <xf numFmtId="0" fontId="27" fillId="0" borderId="0" xfId="4" applyFont="1">
      <alignment vertical="center"/>
    </xf>
    <xf numFmtId="0" fontId="22" fillId="0" borderId="0" xfId="4" applyAlignment="1">
      <alignment horizontal="right" vertical="center"/>
    </xf>
    <xf numFmtId="0" fontId="32" fillId="0" borderId="0" xfId="4" applyFont="1" applyAlignment="1">
      <alignment horizontal="right" vertical="center"/>
    </xf>
    <xf numFmtId="0" fontId="33" fillId="0" borderId="0" xfId="4" applyFont="1" applyAlignment="1">
      <alignment horizontal="right" vertical="center"/>
    </xf>
    <xf numFmtId="0" fontId="22" fillId="0" borderId="0" xfId="4" applyAlignment="1">
      <alignment horizontal="left" vertical="center"/>
    </xf>
    <xf numFmtId="0" fontId="34" fillId="0" borderId="0" xfId="4" applyFont="1">
      <alignment vertical="center"/>
    </xf>
    <xf numFmtId="0" fontId="35" fillId="0" borderId="0" xfId="4" applyFont="1" applyAlignment="1">
      <alignment horizontal="right" vertical="center"/>
    </xf>
    <xf numFmtId="0" fontId="36" fillId="0" borderId="0" xfId="4" applyFont="1">
      <alignment vertical="center"/>
    </xf>
    <xf numFmtId="0" fontId="2" fillId="0" borderId="1" xfId="2" applyBorder="1"/>
    <xf numFmtId="0" fontId="37" fillId="0" borderId="0" xfId="4" applyFont="1">
      <alignment vertical="center"/>
    </xf>
    <xf numFmtId="0" fontId="0" fillId="0" borderId="56" xfId="0" applyBorder="1" applyAlignment="1">
      <alignment horizontal="center" vertical="center"/>
    </xf>
    <xf numFmtId="0" fontId="38" fillId="0" borderId="0" xfId="4" applyFont="1" applyAlignment="1">
      <alignment horizontal="right" vertical="center"/>
    </xf>
    <xf numFmtId="0" fontId="39" fillId="0" borderId="0" xfId="4" applyFont="1">
      <alignment vertical="center"/>
    </xf>
    <xf numFmtId="176" fontId="0" fillId="0" borderId="0" xfId="0" applyNumberFormat="1">
      <alignment vertical="center"/>
    </xf>
    <xf numFmtId="176" fontId="40" fillId="0" borderId="25" xfId="0" applyNumberFormat="1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7" fontId="0" fillId="0" borderId="3" xfId="0" applyNumberFormat="1" applyBorder="1">
      <alignment vertical="center"/>
    </xf>
    <xf numFmtId="0" fontId="0" fillId="8" borderId="3" xfId="0" applyFill="1" applyBorder="1">
      <alignment vertical="center"/>
    </xf>
    <xf numFmtId="0" fontId="0" fillId="8" borderId="16" xfId="0" applyFill="1" applyBorder="1">
      <alignment vertical="center"/>
    </xf>
    <xf numFmtId="49" fontId="0" fillId="0" borderId="0" xfId="0" applyNumberFormat="1" applyAlignment="1">
      <alignment horizontal="center" vertical="center"/>
    </xf>
    <xf numFmtId="38" fontId="22" fillId="0" borderId="0" xfId="1" applyAlignment="1">
      <alignment horizontal="right" vertical="center"/>
    </xf>
    <xf numFmtId="0" fontId="8" fillId="0" borderId="0" xfId="2" applyFont="1"/>
    <xf numFmtId="0" fontId="22" fillId="0" borderId="0" xfId="3">
      <alignment vertical="center"/>
    </xf>
    <xf numFmtId="0" fontId="22" fillId="0" borderId="0" xfId="3" applyAlignment="1">
      <alignment horizontal="center" vertical="center"/>
    </xf>
    <xf numFmtId="176" fontId="22" fillId="0" borderId="0" xfId="3" applyNumberFormat="1">
      <alignment vertical="center"/>
    </xf>
    <xf numFmtId="49" fontId="22" fillId="0" borderId="0" xfId="3" applyNumberFormat="1">
      <alignment vertical="center"/>
    </xf>
    <xf numFmtId="0" fontId="22" fillId="0" borderId="46" xfId="3" applyBorder="1">
      <alignment vertical="center"/>
    </xf>
    <xf numFmtId="0" fontId="26" fillId="9" borderId="29" xfId="0" applyFont="1" applyFill="1" applyBorder="1">
      <alignment vertical="center"/>
    </xf>
    <xf numFmtId="0" fontId="22" fillId="10" borderId="0" xfId="3" applyFill="1">
      <alignment vertical="center"/>
    </xf>
    <xf numFmtId="0" fontId="22" fillId="10" borderId="0" xfId="3" applyFill="1" applyAlignment="1">
      <alignment horizontal="center" vertical="center"/>
    </xf>
    <xf numFmtId="176" fontId="22" fillId="10" borderId="0" xfId="3" applyNumberFormat="1" applyFill="1">
      <alignment vertical="center"/>
    </xf>
    <xf numFmtId="49" fontId="22" fillId="10" borderId="0" xfId="3" applyNumberFormat="1" applyFill="1">
      <alignment vertical="center"/>
    </xf>
    <xf numFmtId="0" fontId="0" fillId="0" borderId="80" xfId="0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177" fontId="12" fillId="0" borderId="0" xfId="0" applyNumberFormat="1" applyFont="1" applyAlignment="1">
      <alignment horizontal="left" vertical="center"/>
    </xf>
    <xf numFmtId="38" fontId="24" fillId="0" borderId="0" xfId="0" applyNumberFormat="1" applyFont="1">
      <alignment vertical="center"/>
    </xf>
    <xf numFmtId="0" fontId="0" fillId="6" borderId="3" xfId="0" applyFill="1" applyBorder="1" applyAlignment="1">
      <alignment horizontal="center" vertical="center"/>
    </xf>
    <xf numFmtId="0" fontId="0" fillId="0" borderId="45" xfId="0" applyBorder="1" applyAlignment="1">
      <alignment horizontal="right" vertical="center"/>
    </xf>
    <xf numFmtId="38" fontId="41" fillId="0" borderId="36" xfId="0" applyNumberFormat="1" applyFont="1" applyBorder="1">
      <alignment vertical="center"/>
    </xf>
    <xf numFmtId="0" fontId="0" fillId="0" borderId="81" xfId="0" applyBorder="1" applyAlignment="1">
      <alignment horizontal="center" vertical="center"/>
    </xf>
    <xf numFmtId="0" fontId="30" fillId="4" borderId="57" xfId="0" applyFont="1" applyFill="1" applyBorder="1">
      <alignment vertical="center"/>
    </xf>
    <xf numFmtId="0" fontId="30" fillId="4" borderId="83" xfId="0" applyFont="1" applyFill="1" applyBorder="1">
      <alignment vertical="center"/>
    </xf>
    <xf numFmtId="0" fontId="30" fillId="4" borderId="85" xfId="0" applyFont="1" applyFill="1" applyBorder="1">
      <alignment vertical="center"/>
    </xf>
    <xf numFmtId="177" fontId="2" fillId="8" borderId="86" xfId="0" applyNumberFormat="1" applyFont="1" applyFill="1" applyBorder="1" applyAlignment="1">
      <alignment horizontal="center" vertical="center"/>
    </xf>
    <xf numFmtId="0" fontId="0" fillId="8" borderId="36" xfId="0" applyFill="1" applyBorder="1">
      <alignment vertical="center"/>
    </xf>
    <xf numFmtId="0" fontId="0" fillId="6" borderId="78" xfId="0" applyFill="1" applyBorder="1" applyAlignment="1">
      <alignment horizontal="center" vertical="center"/>
    </xf>
    <xf numFmtId="0" fontId="0" fillId="6" borderId="86" xfId="0" applyFill="1" applyBorder="1" applyAlignment="1">
      <alignment horizontal="center" vertical="center"/>
    </xf>
    <xf numFmtId="177" fontId="12" fillId="9" borderId="24" xfId="0" applyNumberFormat="1" applyFont="1" applyFill="1" applyBorder="1" applyAlignment="1">
      <alignment horizontal="center" vertical="center"/>
    </xf>
    <xf numFmtId="0" fontId="8" fillId="0" borderId="77" xfId="2" applyFont="1" applyBorder="1" applyAlignment="1">
      <alignment horizontal="left" vertical="center"/>
    </xf>
    <xf numFmtId="0" fontId="8" fillId="0" borderId="77" xfId="2" applyFont="1" applyBorder="1" applyAlignment="1">
      <alignment horizontal="center" vertical="center"/>
    </xf>
    <xf numFmtId="0" fontId="8" fillId="0" borderId="67" xfId="2" applyFont="1" applyBorder="1" applyAlignment="1">
      <alignment horizontal="center" vertical="center"/>
    </xf>
    <xf numFmtId="0" fontId="0" fillId="0" borderId="46" xfId="0" applyBorder="1">
      <alignment vertical="center"/>
    </xf>
    <xf numFmtId="0" fontId="0" fillId="0" borderId="16" xfId="0" applyBorder="1" applyAlignment="1" applyProtection="1">
      <alignment horizontal="left" vertical="center"/>
      <protection locked="0"/>
    </xf>
    <xf numFmtId="5" fontId="2" fillId="0" borderId="0" xfId="2" applyNumberFormat="1"/>
    <xf numFmtId="5" fontId="2" fillId="0" borderId="0" xfId="2" applyNumberFormat="1" applyAlignment="1">
      <alignment horizontal="right"/>
    </xf>
    <xf numFmtId="0" fontId="32" fillId="0" borderId="0" xfId="0" applyFont="1">
      <alignment vertical="center"/>
    </xf>
    <xf numFmtId="0" fontId="0" fillId="0" borderId="40" xfId="0" applyBorder="1" applyAlignment="1">
      <alignment horizontal="center" vertical="center"/>
    </xf>
    <xf numFmtId="0" fontId="43" fillId="0" borderId="0" xfId="4" applyFont="1">
      <alignment vertical="center"/>
    </xf>
    <xf numFmtId="0" fontId="0" fillId="12" borderId="3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4" fillId="11" borderId="41" xfId="0" applyFont="1" applyFill="1" applyBorder="1" applyAlignment="1">
      <alignment horizontal="center" vertical="center"/>
    </xf>
    <xf numFmtId="0" fontId="44" fillId="11" borderId="52" xfId="0" applyFont="1" applyFill="1" applyBorder="1" applyAlignment="1">
      <alignment horizontal="center" vertical="center"/>
    </xf>
    <xf numFmtId="0" fontId="44" fillId="11" borderId="53" xfId="0" applyFont="1" applyFill="1" applyBorder="1" applyAlignment="1">
      <alignment horizontal="center" vertical="center"/>
    </xf>
    <xf numFmtId="0" fontId="10" fillId="2" borderId="41" xfId="2" applyFont="1" applyFill="1" applyBorder="1" applyAlignment="1">
      <alignment horizontal="center" vertical="center" shrinkToFit="1"/>
    </xf>
    <xf numFmtId="0" fontId="10" fillId="2" borderId="82" xfId="2" applyFont="1" applyFill="1" applyBorder="1" applyAlignment="1">
      <alignment horizontal="center" vertical="center" shrinkToFit="1"/>
    </xf>
    <xf numFmtId="177" fontId="12" fillId="0" borderId="23" xfId="3" applyNumberFormat="1" applyFont="1" applyBorder="1" applyAlignment="1">
      <alignment horizontal="center" vertical="center"/>
    </xf>
    <xf numFmtId="177" fontId="26" fillId="0" borderId="0" xfId="0" applyNumberFormat="1" applyFont="1" applyAlignment="1">
      <alignment vertical="center" wrapText="1"/>
    </xf>
    <xf numFmtId="0" fontId="42" fillId="0" borderId="0" xfId="0" applyFont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37" fillId="0" borderId="123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30" fillId="0" borderId="45" xfId="0" applyFont="1" applyBorder="1">
      <alignment vertical="center"/>
    </xf>
    <xf numFmtId="0" fontId="30" fillId="0" borderId="90" xfId="0" applyFont="1" applyBorder="1">
      <alignment vertical="center"/>
    </xf>
    <xf numFmtId="49" fontId="12" fillId="0" borderId="124" xfId="0" applyNumberFormat="1" applyFont="1" applyBorder="1">
      <alignment vertical="center"/>
    </xf>
    <xf numFmtId="0" fontId="12" fillId="0" borderId="26" xfId="0" applyFont="1" applyBorder="1">
      <alignment vertical="center"/>
    </xf>
    <xf numFmtId="0" fontId="12" fillId="0" borderId="51" xfId="0" applyFont="1" applyBorder="1">
      <alignment vertical="center"/>
    </xf>
    <xf numFmtId="0" fontId="40" fillId="0" borderId="51" xfId="0" applyFont="1" applyBorder="1" applyAlignment="1">
      <alignment vertical="center" wrapText="1" shrinkToFit="1"/>
    </xf>
    <xf numFmtId="0" fontId="0" fillId="0" borderId="85" xfId="0" applyBorder="1">
      <alignment vertical="center"/>
    </xf>
    <xf numFmtId="0" fontId="0" fillId="0" borderId="57" xfId="0" applyBorder="1">
      <alignment vertical="center"/>
    </xf>
    <xf numFmtId="0" fontId="0" fillId="0" borderId="57" xfId="0" applyBorder="1" applyAlignment="1">
      <alignment vertical="center" shrinkToFit="1"/>
    </xf>
    <xf numFmtId="0" fontId="0" fillId="0" borderId="83" xfId="0" applyBorder="1" applyAlignment="1">
      <alignment vertical="center" shrinkToFit="1"/>
    </xf>
    <xf numFmtId="38" fontId="26" fillId="5" borderId="98" xfId="1" applyFont="1" applyFill="1" applyBorder="1" applyAlignment="1">
      <alignment vertical="center" wrapText="1"/>
    </xf>
    <xf numFmtId="38" fontId="26" fillId="5" borderId="42" xfId="1" applyFont="1" applyFill="1" applyBorder="1" applyAlignment="1">
      <alignment vertical="center" wrapText="1"/>
    </xf>
    <xf numFmtId="38" fontId="26" fillId="5" borderId="99" xfId="1" applyFont="1" applyFill="1" applyBorder="1" applyAlignment="1">
      <alignment vertical="center" wrapText="1"/>
    </xf>
    <xf numFmtId="0" fontId="0" fillId="0" borderId="122" xfId="0" applyBorder="1" applyAlignment="1">
      <alignment vertical="center" wrapText="1"/>
    </xf>
    <xf numFmtId="0" fontId="0" fillId="0" borderId="34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27" fillId="0" borderId="48" xfId="0" applyFont="1" applyBorder="1">
      <alignment vertical="center"/>
    </xf>
    <xf numFmtId="0" fontId="27" fillId="0" borderId="57" xfId="0" applyFont="1" applyBorder="1">
      <alignment vertical="center"/>
    </xf>
    <xf numFmtId="0" fontId="27" fillId="0" borderId="83" xfId="0" applyFont="1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176" fontId="0" fillId="0" borderId="21" xfId="0" applyNumberFormat="1" applyBorder="1">
      <alignment vertical="center"/>
    </xf>
    <xf numFmtId="176" fontId="0" fillId="0" borderId="37" xfId="0" applyNumberFormat="1" applyBorder="1">
      <alignment vertical="center"/>
    </xf>
    <xf numFmtId="0" fontId="27" fillId="0" borderId="45" xfId="0" applyFont="1" applyBorder="1">
      <alignment vertical="center"/>
    </xf>
    <xf numFmtId="0" fontId="27" fillId="0" borderId="47" xfId="0" applyFont="1" applyBorder="1">
      <alignment vertical="center"/>
    </xf>
    <xf numFmtId="0" fontId="27" fillId="0" borderId="36" xfId="0" applyFont="1" applyBorder="1">
      <alignment vertical="center"/>
    </xf>
    <xf numFmtId="0" fontId="27" fillId="0" borderId="90" xfId="0" applyFont="1" applyBorder="1">
      <alignment vertical="center"/>
    </xf>
    <xf numFmtId="0" fontId="27" fillId="0" borderId="46" xfId="0" applyFont="1" applyBorder="1" applyAlignment="1">
      <alignment vertical="center" wrapText="1"/>
    </xf>
    <xf numFmtId="0" fontId="27" fillId="0" borderId="46" xfId="0" applyFont="1" applyBorder="1">
      <alignment vertical="center"/>
    </xf>
    <xf numFmtId="0" fontId="27" fillId="0" borderId="93" xfId="0" applyFont="1" applyBorder="1">
      <alignment vertical="center"/>
    </xf>
    <xf numFmtId="0" fontId="27" fillId="0" borderId="77" xfId="0" applyFont="1" applyBorder="1">
      <alignment vertical="center"/>
    </xf>
    <xf numFmtId="0" fontId="27" fillId="0" borderId="67" xfId="0" applyFont="1" applyBorder="1">
      <alignment vertical="center"/>
    </xf>
    <xf numFmtId="0" fontId="27" fillId="0" borderId="88" xfId="0" applyFont="1" applyBorder="1">
      <alignment vertical="center"/>
    </xf>
    <xf numFmtId="0" fontId="27" fillId="0" borderId="38" xfId="0" applyFont="1" applyBorder="1">
      <alignment vertical="center"/>
    </xf>
    <xf numFmtId="0" fontId="27" fillId="0" borderId="117" xfId="0" applyFont="1" applyBorder="1" applyAlignment="1">
      <alignment vertical="center" wrapText="1"/>
    </xf>
    <xf numFmtId="0" fontId="27" fillId="0" borderId="5" xfId="0" applyFont="1" applyBorder="1" applyAlignment="1">
      <alignment vertical="center" wrapText="1"/>
    </xf>
    <xf numFmtId="0" fontId="40" fillId="0" borderId="10" xfId="0" applyFont="1" applyBorder="1" applyAlignment="1">
      <alignment horizontal="center" vertical="center" shrinkToFit="1"/>
    </xf>
    <xf numFmtId="0" fontId="40" fillId="0" borderId="26" xfId="0" applyFont="1" applyBorder="1" applyAlignment="1">
      <alignment vertical="center" shrinkToFit="1"/>
    </xf>
    <xf numFmtId="49" fontId="22" fillId="0" borderId="0" xfId="3" applyNumberFormat="1" applyAlignment="1">
      <alignment horizontal="center" vertical="center"/>
    </xf>
    <xf numFmtId="0" fontId="0" fillId="0" borderId="0" xfId="4" applyFont="1">
      <alignment vertical="center"/>
    </xf>
    <xf numFmtId="0" fontId="31" fillId="0" borderId="19" xfId="4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0" fillId="10" borderId="54" xfId="0" applyFill="1" applyBorder="1" applyAlignment="1">
      <alignment horizontal="center" vertical="center"/>
    </xf>
    <xf numFmtId="49" fontId="0" fillId="4" borderId="17" xfId="0" applyNumberFormat="1" applyFill="1" applyBorder="1">
      <alignment vertical="center"/>
    </xf>
    <xf numFmtId="49" fontId="0" fillId="4" borderId="117" xfId="0" applyNumberFormat="1" applyFill="1" applyBorder="1">
      <alignment vertical="center"/>
    </xf>
    <xf numFmtId="0" fontId="0" fillId="4" borderId="20" xfId="0" applyFill="1" applyBorder="1">
      <alignment vertical="center"/>
    </xf>
    <xf numFmtId="0" fontId="0" fillId="6" borderId="20" xfId="0" applyFill="1" applyBorder="1">
      <alignment vertical="center"/>
    </xf>
    <xf numFmtId="0" fontId="0" fillId="6" borderId="17" xfId="0" applyFill="1" applyBorder="1">
      <alignment vertical="center"/>
    </xf>
    <xf numFmtId="0" fontId="0" fillId="4" borderId="21" xfId="0" applyFill="1" applyBorder="1">
      <alignment vertical="center"/>
    </xf>
    <xf numFmtId="0" fontId="0" fillId="4" borderId="22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30" xfId="0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/>
    </xf>
    <xf numFmtId="0" fontId="0" fillId="4" borderId="16" xfId="0" applyFill="1" applyBorder="1">
      <alignment vertical="center"/>
    </xf>
    <xf numFmtId="0" fontId="0" fillId="6" borderId="16" xfId="0" applyFill="1" applyBorder="1">
      <alignment vertical="center"/>
    </xf>
    <xf numFmtId="0" fontId="0" fillId="6" borderId="5" xfId="0" applyFill="1" applyBorder="1">
      <alignment vertical="center"/>
    </xf>
    <xf numFmtId="0" fontId="0" fillId="4" borderId="18" xfId="0" applyFill="1" applyBorder="1">
      <alignment vertical="center"/>
    </xf>
    <xf numFmtId="0" fontId="0" fillId="4" borderId="65" xfId="0" applyFill="1" applyBorder="1">
      <alignment vertical="center"/>
    </xf>
    <xf numFmtId="0" fontId="0" fillId="4" borderId="97" xfId="0" applyFill="1" applyBorder="1">
      <alignment vertical="center"/>
    </xf>
    <xf numFmtId="0" fontId="0" fillId="0" borderId="87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4" borderId="0" xfId="0" applyFill="1">
      <alignment vertical="center"/>
    </xf>
    <xf numFmtId="0" fontId="42" fillId="0" borderId="0" xfId="0" applyFont="1" applyAlignment="1">
      <alignment horizontal="center" vertical="center" shrinkToFit="1"/>
    </xf>
    <xf numFmtId="38" fontId="22" fillId="0" borderId="0" xfId="1" applyBorder="1">
      <alignment vertical="center"/>
    </xf>
    <xf numFmtId="0" fontId="0" fillId="12" borderId="79" xfId="0" applyFill="1" applyBorder="1" applyAlignment="1">
      <alignment horizontal="center" vertical="center"/>
    </xf>
    <xf numFmtId="0" fontId="0" fillId="12" borderId="43" xfId="0" applyFill="1" applyBorder="1" applyAlignment="1">
      <alignment horizontal="center" vertical="center"/>
    </xf>
    <xf numFmtId="0" fontId="0" fillId="12" borderId="41" xfId="0" applyFill="1" applyBorder="1" applyAlignment="1">
      <alignment horizontal="center" vertical="center"/>
    </xf>
    <xf numFmtId="0" fontId="0" fillId="12" borderId="52" xfId="0" applyFill="1" applyBorder="1" applyAlignment="1">
      <alignment horizontal="center" vertical="center"/>
    </xf>
    <xf numFmtId="177" fontId="0" fillId="0" borderId="36" xfId="0" applyNumberFormat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4" borderId="30" xfId="0" applyFill="1" applyBorder="1" applyAlignment="1">
      <alignment horizontal="center" vertical="center"/>
    </xf>
    <xf numFmtId="14" fontId="0" fillId="0" borderId="128" xfId="0" applyNumberFormat="1" applyBorder="1">
      <alignment vertical="center"/>
    </xf>
    <xf numFmtId="0" fontId="0" fillId="4" borderId="129" xfId="0" applyFill="1" applyBorder="1">
      <alignment vertical="center"/>
    </xf>
    <xf numFmtId="0" fontId="0" fillId="0" borderId="22" xfId="0" applyBorder="1" applyAlignment="1">
      <alignment horizontal="center" vertical="center"/>
    </xf>
    <xf numFmtId="0" fontId="0" fillId="0" borderId="16" xfId="0" applyBorder="1">
      <alignment vertical="center"/>
    </xf>
    <xf numFmtId="0" fontId="0" fillId="0" borderId="33" xfId="0" applyBorder="1">
      <alignment vertical="center"/>
    </xf>
    <xf numFmtId="0" fontId="0" fillId="0" borderId="32" xfId="0" applyBorder="1">
      <alignment vertical="center"/>
    </xf>
    <xf numFmtId="14" fontId="0" fillId="0" borderId="130" xfId="0" applyNumberFormat="1" applyBorder="1">
      <alignment vertical="center"/>
    </xf>
    <xf numFmtId="0" fontId="0" fillId="0" borderId="132" xfId="0" applyBorder="1" applyAlignment="1">
      <alignment horizontal="center" vertical="center"/>
    </xf>
    <xf numFmtId="14" fontId="0" fillId="0" borderId="134" xfId="0" applyNumberFormat="1" applyBorder="1">
      <alignment vertical="center"/>
    </xf>
    <xf numFmtId="14" fontId="0" fillId="0" borderId="136" xfId="0" applyNumberFormat="1" applyBorder="1">
      <alignment vertical="center"/>
    </xf>
    <xf numFmtId="0" fontId="0" fillId="0" borderId="138" xfId="0" applyBorder="1">
      <alignment vertical="center"/>
    </xf>
    <xf numFmtId="0" fontId="0" fillId="4" borderId="139" xfId="0" applyFill="1" applyBorder="1">
      <alignment vertical="center"/>
    </xf>
    <xf numFmtId="0" fontId="0" fillId="10" borderId="0" xfId="0" applyFill="1">
      <alignment vertical="center"/>
    </xf>
    <xf numFmtId="14" fontId="0" fillId="0" borderId="127" xfId="0" applyNumberFormat="1" applyBorder="1">
      <alignment vertical="center"/>
    </xf>
    <xf numFmtId="49" fontId="0" fillId="13" borderId="32" xfId="0" applyNumberFormat="1" applyFill="1" applyBorder="1" applyAlignment="1" applyProtection="1">
      <alignment horizontal="center" vertical="center"/>
      <protection locked="0"/>
    </xf>
    <xf numFmtId="49" fontId="0" fillId="13" borderId="16" xfId="0" applyNumberFormat="1" applyFill="1" applyBorder="1" applyAlignment="1" applyProtection="1">
      <alignment horizontal="center" vertical="center"/>
      <protection locked="0"/>
    </xf>
    <xf numFmtId="49" fontId="0" fillId="13" borderId="57" xfId="0" applyNumberFormat="1" applyFill="1" applyBorder="1" applyAlignment="1" applyProtection="1">
      <alignment horizontal="center" vertical="center"/>
      <protection locked="0"/>
    </xf>
    <xf numFmtId="49" fontId="0" fillId="13" borderId="46" xfId="0" applyNumberFormat="1" applyFill="1" applyBorder="1" applyAlignment="1" applyProtection="1">
      <alignment horizontal="center" vertical="center"/>
      <protection locked="0"/>
    </xf>
    <xf numFmtId="176" fontId="0" fillId="13" borderId="46" xfId="0" applyNumberFormat="1" applyFill="1" applyBorder="1" applyAlignment="1" applyProtection="1">
      <alignment horizontal="center" vertical="center"/>
      <protection locked="0"/>
    </xf>
    <xf numFmtId="176" fontId="0" fillId="13" borderId="47" xfId="0" applyNumberFormat="1" applyFill="1" applyBorder="1" applyAlignment="1" applyProtection="1">
      <alignment horizontal="center" vertical="center"/>
      <protection locked="0"/>
    </xf>
    <xf numFmtId="49" fontId="0" fillId="13" borderId="38" xfId="0" applyNumberFormat="1" applyFill="1" applyBorder="1" applyAlignment="1" applyProtection="1">
      <alignment horizontal="center" vertical="center"/>
      <protection locked="0"/>
    </xf>
    <xf numFmtId="49" fontId="0" fillId="13" borderId="90" xfId="0" applyNumberFormat="1" applyFill="1" applyBorder="1" applyAlignment="1" applyProtection="1">
      <alignment horizontal="center" vertical="center"/>
      <protection locked="0"/>
    </xf>
    <xf numFmtId="0" fontId="0" fillId="14" borderId="46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177" fontId="0" fillId="4" borderId="131" xfId="0" applyNumberFormat="1" applyFill="1" applyBorder="1">
      <alignment vertical="center"/>
    </xf>
    <xf numFmtId="177" fontId="0" fillId="4" borderId="133" xfId="0" applyNumberFormat="1" applyFill="1" applyBorder="1" applyAlignment="1">
      <alignment horizontal="center" vertical="center"/>
    </xf>
    <xf numFmtId="177" fontId="0" fillId="4" borderId="135" xfId="0" applyNumberFormat="1" applyFill="1" applyBorder="1">
      <alignment vertical="center"/>
    </xf>
    <xf numFmtId="177" fontId="0" fillId="4" borderId="137" xfId="0" applyNumberFormat="1" applyFill="1" applyBorder="1">
      <alignment vertical="center"/>
    </xf>
    <xf numFmtId="0" fontId="24" fillId="6" borderId="93" xfId="0" applyFont="1" applyFill="1" applyBorder="1" applyAlignment="1">
      <alignment horizontal="center" vertical="center" shrinkToFit="1"/>
    </xf>
    <xf numFmtId="0" fontId="12" fillId="6" borderId="11" xfId="0" applyFont="1" applyFill="1" applyBorder="1" applyAlignment="1">
      <alignment horizontal="center" vertical="center"/>
    </xf>
    <xf numFmtId="0" fontId="12" fillId="6" borderId="10" xfId="0" applyFont="1" applyFill="1" applyBorder="1" applyAlignment="1">
      <alignment horizontal="center" vertical="center"/>
    </xf>
    <xf numFmtId="0" fontId="12" fillId="6" borderId="37" xfId="0" applyFont="1" applyFill="1" applyBorder="1" applyAlignment="1">
      <alignment horizontal="center" vertical="center"/>
    </xf>
    <xf numFmtId="0" fontId="12" fillId="6" borderId="40" xfId="0" applyFont="1" applyFill="1" applyBorder="1" applyAlignment="1">
      <alignment horizontal="center" vertical="center"/>
    </xf>
    <xf numFmtId="0" fontId="12" fillId="6" borderId="25" xfId="0" applyFont="1" applyFill="1" applyBorder="1" applyAlignment="1">
      <alignment horizontal="center" vertical="center"/>
    </xf>
    <xf numFmtId="176" fontId="40" fillId="6" borderId="25" xfId="0" applyNumberFormat="1" applyFont="1" applyFill="1" applyBorder="1" applyAlignment="1">
      <alignment horizontal="center" vertical="center"/>
    </xf>
    <xf numFmtId="0" fontId="12" fillId="6" borderId="25" xfId="0" applyFont="1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/>
    </xf>
    <xf numFmtId="176" fontId="0" fillId="6" borderId="32" xfId="0" applyNumberFormat="1" applyFill="1" applyBorder="1" applyAlignment="1">
      <alignment horizontal="center" vertical="center"/>
    </xf>
    <xf numFmtId="176" fontId="0" fillId="6" borderId="38" xfId="0" applyNumberFormat="1" applyFill="1" applyBorder="1" applyAlignment="1">
      <alignment horizontal="center" vertical="center"/>
    </xf>
    <xf numFmtId="0" fontId="0" fillId="6" borderId="88" xfId="0" applyFill="1" applyBorder="1" applyAlignment="1">
      <alignment horizontal="center" vertical="center"/>
    </xf>
    <xf numFmtId="176" fontId="0" fillId="6" borderId="15" xfId="0" applyNumberFormat="1" applyFill="1" applyBorder="1" applyAlignment="1">
      <alignment horizontal="center" vertical="center"/>
    </xf>
    <xf numFmtId="176" fontId="0" fillId="6" borderId="16" xfId="0" applyNumberFormat="1" applyFill="1" applyBorder="1" applyAlignment="1">
      <alignment horizontal="center" vertical="center"/>
    </xf>
    <xf numFmtId="176" fontId="0" fillId="6" borderId="74" xfId="0" applyNumberFormat="1" applyFill="1" applyBorder="1" applyAlignment="1">
      <alignment horizontal="center" vertical="center"/>
    </xf>
    <xf numFmtId="49" fontId="0" fillId="6" borderId="38" xfId="0" applyNumberFormat="1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176" fontId="0" fillId="6" borderId="46" xfId="0" applyNumberFormat="1" applyFill="1" applyBorder="1" applyAlignment="1">
      <alignment horizontal="center" vertical="center"/>
    </xf>
    <xf numFmtId="176" fontId="0" fillId="6" borderId="33" xfId="0" applyNumberFormat="1" applyFill="1" applyBorder="1" applyAlignment="1">
      <alignment horizontal="center" vertical="center"/>
    </xf>
    <xf numFmtId="176" fontId="0" fillId="6" borderId="39" xfId="0" applyNumberFormat="1" applyFill="1" applyBorder="1" applyAlignment="1">
      <alignment horizontal="center" vertical="center"/>
    </xf>
    <xf numFmtId="0" fontId="0" fillId="6" borderId="29" xfId="0" applyFill="1" applyBorder="1" applyAlignment="1">
      <alignment horizontal="center" vertical="center"/>
    </xf>
    <xf numFmtId="176" fontId="0" fillId="6" borderId="19" xfId="0" applyNumberFormat="1" applyFill="1" applyBorder="1" applyAlignment="1">
      <alignment horizontal="center" vertical="center"/>
    </xf>
    <xf numFmtId="176" fontId="0" fillId="6" borderId="20" xfId="0" applyNumberFormat="1" applyFill="1" applyBorder="1" applyAlignment="1">
      <alignment horizontal="center" vertical="center"/>
    </xf>
    <xf numFmtId="176" fontId="0" fillId="6" borderId="49" xfId="0" applyNumberFormat="1" applyFill="1" applyBorder="1" applyAlignment="1">
      <alignment horizontal="center" vertical="center"/>
    </xf>
    <xf numFmtId="49" fontId="0" fillId="6" borderId="39" xfId="0" applyNumberFormat="1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176" fontId="0" fillId="6" borderId="60" xfId="0" applyNumberFormat="1" applyFill="1" applyBorder="1" applyAlignment="1">
      <alignment horizontal="center" vertical="center"/>
    </xf>
    <xf numFmtId="176" fontId="0" fillId="6" borderId="63" xfId="0" applyNumberFormat="1" applyFill="1" applyBorder="1" applyAlignment="1">
      <alignment horizontal="center" vertical="center"/>
    </xf>
    <xf numFmtId="0" fontId="0" fillId="6" borderId="125" xfId="0" applyFill="1" applyBorder="1" applyAlignment="1">
      <alignment horizontal="center" vertical="center"/>
    </xf>
    <xf numFmtId="176" fontId="0" fillId="6" borderId="58" xfId="0" applyNumberFormat="1" applyFill="1" applyBorder="1" applyAlignment="1">
      <alignment horizontal="center" vertical="center"/>
    </xf>
    <xf numFmtId="176" fontId="0" fillId="6" borderId="59" xfId="0" applyNumberFormat="1" applyFill="1" applyBorder="1" applyAlignment="1">
      <alignment horizontal="center" vertical="center"/>
    </xf>
    <xf numFmtId="176" fontId="0" fillId="6" borderId="73" xfId="0" applyNumberFormat="1" applyFill="1" applyBorder="1" applyAlignment="1">
      <alignment horizontal="center" vertical="center"/>
    </xf>
    <xf numFmtId="49" fontId="0" fillId="6" borderId="63" xfId="0" applyNumberFormat="1" applyFill="1" applyBorder="1" applyAlignment="1">
      <alignment horizontal="center" vertical="center"/>
    </xf>
    <xf numFmtId="0" fontId="12" fillId="15" borderId="11" xfId="0" applyFont="1" applyFill="1" applyBorder="1" applyAlignment="1">
      <alignment horizontal="center" vertical="center" shrinkToFit="1"/>
    </xf>
    <xf numFmtId="14" fontId="0" fillId="0" borderId="132" xfId="0" applyNumberFormat="1" applyBorder="1">
      <alignment vertical="center"/>
    </xf>
    <xf numFmtId="14" fontId="0" fillId="0" borderId="138" xfId="0" applyNumberFormat="1" applyBorder="1">
      <alignment vertical="center"/>
    </xf>
    <xf numFmtId="0" fontId="0" fillId="0" borderId="35" xfId="0" applyBorder="1">
      <alignment vertical="center"/>
    </xf>
    <xf numFmtId="0" fontId="0" fillId="0" borderId="21" xfId="0" applyBorder="1">
      <alignment vertical="center"/>
    </xf>
    <xf numFmtId="0" fontId="0" fillId="0" borderId="35" xfId="0" applyBorder="1" applyAlignment="1">
      <alignment horizontal="center" vertical="center"/>
    </xf>
    <xf numFmtId="0" fontId="0" fillId="0" borderId="18" xfId="0" applyBorder="1">
      <alignment vertical="center"/>
    </xf>
    <xf numFmtId="0" fontId="0" fillId="6" borderId="87" xfId="0" applyFill="1" applyBorder="1">
      <alignment vertical="center"/>
    </xf>
    <xf numFmtId="0" fontId="0" fillId="6" borderId="33" xfId="0" applyFill="1" applyBorder="1">
      <alignment vertical="center"/>
    </xf>
    <xf numFmtId="0" fontId="0" fillId="6" borderId="87" xfId="0" applyFill="1" applyBorder="1" applyAlignment="1">
      <alignment horizontal="center" vertical="center"/>
    </xf>
    <xf numFmtId="0" fontId="0" fillId="6" borderId="32" xfId="0" applyFill="1" applyBorder="1">
      <alignment vertical="center"/>
    </xf>
    <xf numFmtId="0" fontId="0" fillId="0" borderId="0" xfId="3" applyFont="1" applyAlignment="1">
      <alignment horizontal="center" vertical="center"/>
    </xf>
    <xf numFmtId="0" fontId="30" fillId="4" borderId="1" xfId="0" applyFont="1" applyFill="1" applyBorder="1">
      <alignment vertical="center"/>
    </xf>
    <xf numFmtId="49" fontId="0" fillId="14" borderId="0" xfId="0" applyNumberFormat="1" applyFill="1">
      <alignment vertical="center"/>
    </xf>
    <xf numFmtId="0" fontId="26" fillId="9" borderId="0" xfId="0" applyFont="1" applyFill="1" applyAlignment="1">
      <alignment horizontal="center" vertical="center"/>
    </xf>
    <xf numFmtId="0" fontId="12" fillId="15" borderId="140" xfId="0" applyFont="1" applyFill="1" applyBorder="1" applyAlignment="1">
      <alignment horizontal="center" vertical="center" shrinkToFit="1"/>
    </xf>
    <xf numFmtId="0" fontId="12" fillId="15" borderId="146" xfId="0" applyFont="1" applyFill="1" applyBorder="1" applyAlignment="1">
      <alignment horizontal="center" vertical="center" shrinkToFit="1"/>
    </xf>
    <xf numFmtId="0" fontId="30" fillId="4" borderId="0" xfId="0" applyFont="1" applyFill="1" applyAlignment="1">
      <alignment horizontal="center" vertical="center"/>
    </xf>
    <xf numFmtId="0" fontId="30" fillId="9" borderId="29" xfId="0" applyFont="1" applyFill="1" applyBorder="1">
      <alignment vertical="center"/>
    </xf>
    <xf numFmtId="0" fontId="30" fillId="9" borderId="0" xfId="0" applyFont="1" applyFill="1">
      <alignment vertical="center"/>
    </xf>
    <xf numFmtId="0" fontId="47" fillId="4" borderId="70" xfId="0" applyFont="1" applyFill="1" applyBorder="1" applyAlignment="1">
      <alignment horizontal="center" vertical="center"/>
    </xf>
    <xf numFmtId="0" fontId="9" fillId="2" borderId="53" xfId="2" applyFont="1" applyFill="1" applyBorder="1" applyAlignment="1">
      <alignment horizontal="center" vertical="center" shrinkToFit="1"/>
    </xf>
    <xf numFmtId="0" fontId="44" fillId="0" borderId="0" xfId="0" applyFont="1">
      <alignment vertical="center"/>
    </xf>
    <xf numFmtId="0" fontId="44" fillId="11" borderId="79" xfId="0" applyFont="1" applyFill="1" applyBorder="1" applyAlignment="1">
      <alignment horizontal="center" vertical="center"/>
    </xf>
    <xf numFmtId="0" fontId="17" fillId="0" borderId="0" xfId="2" applyFont="1" applyAlignment="1">
      <alignment horizontal="center" vertical="center"/>
    </xf>
    <xf numFmtId="0" fontId="2" fillId="0" borderId="0" xfId="2" applyAlignment="1">
      <alignment horizontal="center"/>
    </xf>
    <xf numFmtId="3" fontId="2" fillId="0" borderId="0" xfId="2" applyNumberFormat="1"/>
    <xf numFmtId="5" fontId="2" fillId="0" borderId="0" xfId="2" applyNumberFormat="1" applyAlignment="1">
      <alignment horizontal="center"/>
    </xf>
    <xf numFmtId="5" fontId="2" fillId="0" borderId="0" xfId="2" applyNumberFormat="1" applyAlignment="1">
      <alignment horizontal="center" vertical="center"/>
    </xf>
    <xf numFmtId="0" fontId="0" fillId="13" borderId="16" xfId="0" applyFill="1" applyBorder="1" applyAlignment="1" applyProtection="1">
      <alignment horizontal="left" vertical="center" shrinkToFit="1"/>
      <protection locked="0"/>
    </xf>
    <xf numFmtId="0" fontId="0" fillId="13" borderId="18" xfId="0" applyFill="1" applyBorder="1" applyAlignment="1" applyProtection="1">
      <alignment horizontal="left" vertical="center" shrinkToFit="1"/>
      <protection locked="0"/>
    </xf>
    <xf numFmtId="0" fontId="0" fillId="0" borderId="0" xfId="0" applyAlignment="1">
      <alignment horizontal="left" vertical="center"/>
    </xf>
    <xf numFmtId="38" fontId="22" fillId="0" borderId="0" xfId="1" applyAlignment="1">
      <alignment horizontal="center" vertical="center"/>
    </xf>
    <xf numFmtId="0" fontId="30" fillId="9" borderId="46" xfId="0" applyFont="1" applyFill="1" applyBorder="1" applyAlignment="1">
      <alignment horizontal="center" vertical="center"/>
    </xf>
    <xf numFmtId="0" fontId="2" fillId="0" borderId="46" xfId="2" applyBorder="1" applyAlignment="1">
      <alignment horizontal="center"/>
    </xf>
    <xf numFmtId="0" fontId="0" fillId="0" borderId="6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9" fillId="2" borderId="52" xfId="2" applyFont="1" applyFill="1" applyBorder="1" applyAlignment="1">
      <alignment horizontal="center" vertical="center" shrinkToFit="1"/>
    </xf>
    <xf numFmtId="0" fontId="9" fillId="2" borderId="41" xfId="2" applyFont="1" applyFill="1" applyBorder="1" applyAlignment="1">
      <alignment horizontal="center" vertical="center" shrinkToFit="1"/>
    </xf>
    <xf numFmtId="0" fontId="0" fillId="10" borderId="166" xfId="0" applyFill="1" applyBorder="1">
      <alignment vertical="center"/>
    </xf>
    <xf numFmtId="38" fontId="0" fillId="0" borderId="167" xfId="1" applyFont="1" applyBorder="1">
      <alignment vertical="center"/>
    </xf>
    <xf numFmtId="0" fontId="0" fillId="10" borderId="168" xfId="0" applyFill="1" applyBorder="1">
      <alignment vertical="center"/>
    </xf>
    <xf numFmtId="38" fontId="0" fillId="0" borderId="169" xfId="1" applyFont="1" applyBorder="1">
      <alignment vertical="center"/>
    </xf>
    <xf numFmtId="0" fontId="0" fillId="10" borderId="171" xfId="0" applyFill="1" applyBorder="1">
      <alignment vertical="center"/>
    </xf>
    <xf numFmtId="0" fontId="0" fillId="0" borderId="172" xfId="0" applyBorder="1">
      <alignment vertical="center"/>
    </xf>
    <xf numFmtId="0" fontId="0" fillId="10" borderId="173" xfId="0" applyFill="1" applyBorder="1">
      <alignment vertical="center"/>
    </xf>
    <xf numFmtId="0" fontId="0" fillId="0" borderId="177" xfId="0" applyBorder="1">
      <alignment vertical="center"/>
    </xf>
    <xf numFmtId="0" fontId="0" fillId="10" borderId="178" xfId="0" applyFill="1" applyBorder="1">
      <alignment vertical="center"/>
    </xf>
    <xf numFmtId="38" fontId="0" fillId="0" borderId="16" xfId="1" applyFont="1" applyBorder="1">
      <alignment vertical="center"/>
    </xf>
    <xf numFmtId="0" fontId="0" fillId="0" borderId="56" xfId="0" applyBorder="1">
      <alignment vertical="center"/>
    </xf>
    <xf numFmtId="0" fontId="0" fillId="0" borderId="179" xfId="0" applyBorder="1">
      <alignment vertical="center"/>
    </xf>
    <xf numFmtId="0" fontId="0" fillId="0" borderId="180" xfId="0" applyBorder="1">
      <alignment vertical="center"/>
    </xf>
    <xf numFmtId="38" fontId="0" fillId="0" borderId="181" xfId="1" applyFont="1" applyBorder="1" applyAlignment="1">
      <alignment vertical="center" shrinkToFit="1"/>
    </xf>
    <xf numFmtId="0" fontId="0" fillId="0" borderId="181" xfId="0" applyBorder="1" applyAlignment="1">
      <alignment vertical="center" shrinkToFit="1"/>
    </xf>
    <xf numFmtId="0" fontId="0" fillId="0" borderId="182" xfId="0" applyBorder="1" applyAlignment="1">
      <alignment vertical="center" shrinkToFit="1"/>
    </xf>
    <xf numFmtId="14" fontId="0" fillId="0" borderId="170" xfId="0" applyNumberFormat="1" applyBorder="1">
      <alignment vertical="center"/>
    </xf>
    <xf numFmtId="0" fontId="12" fillId="0" borderId="54" xfId="0" applyFont="1" applyBorder="1" applyAlignment="1">
      <alignment horizontal="center" vertical="center"/>
    </xf>
    <xf numFmtId="0" fontId="0" fillId="0" borderId="0" xfId="3" applyFont="1">
      <alignment vertical="center"/>
    </xf>
    <xf numFmtId="49" fontId="0" fillId="0" borderId="0" xfId="3" applyNumberFormat="1" applyFont="1" applyAlignment="1">
      <alignment horizontal="center" vertical="center"/>
    </xf>
    <xf numFmtId="0" fontId="0" fillId="13" borderId="88" xfId="0" applyFill="1" applyBorder="1" applyAlignment="1" applyProtection="1">
      <alignment horizontal="center" vertical="center"/>
      <protection locked="0"/>
    </xf>
    <xf numFmtId="0" fontId="40" fillId="13" borderId="32" xfId="0" applyFont="1" applyFill="1" applyBorder="1" applyAlignment="1">
      <alignment horizontal="center" vertical="center" shrinkToFit="1"/>
    </xf>
    <xf numFmtId="0" fontId="40" fillId="15" borderId="32" xfId="0" applyFont="1" applyFill="1" applyBorder="1" applyAlignment="1">
      <alignment horizontal="center" vertical="center" shrinkToFit="1"/>
    </xf>
    <xf numFmtId="0" fontId="40" fillId="15" borderId="87" xfId="0" applyFont="1" applyFill="1" applyBorder="1" applyAlignment="1">
      <alignment horizontal="center" vertical="center" shrinkToFit="1"/>
    </xf>
    <xf numFmtId="0" fontId="40" fillId="15" borderId="60" xfId="0" applyFont="1" applyFill="1" applyBorder="1" applyAlignment="1">
      <alignment horizontal="center" vertical="center" shrinkToFit="1"/>
    </xf>
    <xf numFmtId="0" fontId="48" fillId="15" borderId="66" xfId="0" applyFont="1" applyFill="1" applyBorder="1" applyAlignment="1">
      <alignment horizontal="center" vertical="center" shrinkToFit="1"/>
    </xf>
    <xf numFmtId="49" fontId="40" fillId="0" borderId="0" xfId="0" applyNumberFormat="1" applyFont="1" applyAlignment="1">
      <alignment vertical="center" shrinkToFit="1"/>
    </xf>
    <xf numFmtId="38" fontId="22" fillId="4" borderId="41" xfId="1" applyFill="1" applyBorder="1" applyAlignment="1">
      <alignment horizontal="right" vertical="center"/>
    </xf>
    <xf numFmtId="38" fontId="22" fillId="4" borderId="42" xfId="1" applyFill="1" applyBorder="1" applyAlignment="1">
      <alignment horizontal="right" vertical="center"/>
    </xf>
    <xf numFmtId="38" fontId="22" fillId="4" borderId="43" xfId="1" applyFill="1" applyBorder="1" applyAlignment="1">
      <alignment horizontal="right" vertical="center"/>
    </xf>
    <xf numFmtId="38" fontId="22" fillId="4" borderId="53" xfId="1" applyFill="1" applyBorder="1" applyAlignment="1">
      <alignment horizontal="right" vertical="center"/>
    </xf>
    <xf numFmtId="0" fontId="0" fillId="0" borderId="0" xfId="4" applyFont="1" applyAlignment="1">
      <alignment horizontal="left" vertical="center"/>
    </xf>
    <xf numFmtId="49" fontId="0" fillId="0" borderId="0" xfId="0" applyNumberFormat="1" applyAlignment="1">
      <alignment vertical="center" shrinkToFit="1"/>
    </xf>
    <xf numFmtId="176" fontId="42" fillId="0" borderId="0" xfId="0" applyNumberFormat="1" applyFont="1" applyAlignment="1">
      <alignment vertical="center" shrinkToFit="1"/>
    </xf>
    <xf numFmtId="0" fontId="27" fillId="15" borderId="77" xfId="0" applyFont="1" applyFill="1" applyBorder="1" applyAlignment="1">
      <alignment vertical="center" shrinkToFit="1"/>
    </xf>
    <xf numFmtId="0" fontId="27" fillId="15" borderId="67" xfId="0" applyFont="1" applyFill="1" applyBorder="1" applyAlignment="1">
      <alignment vertical="center" shrinkToFit="1"/>
    </xf>
    <xf numFmtId="0" fontId="12" fillId="15" borderId="10" xfId="0" applyFont="1" applyFill="1" applyBorder="1" applyAlignment="1">
      <alignment horizontal="center" vertical="center" shrinkToFit="1"/>
    </xf>
    <xf numFmtId="0" fontId="12" fillId="15" borderId="12" xfId="0" applyFont="1" applyFill="1" applyBorder="1" applyAlignment="1">
      <alignment horizontal="center" vertical="center" shrinkToFit="1"/>
    </xf>
    <xf numFmtId="0" fontId="0" fillId="15" borderId="141" xfId="0" applyFill="1" applyBorder="1" applyAlignment="1">
      <alignment horizontal="center" vertical="center" shrinkToFit="1"/>
    </xf>
    <xf numFmtId="0" fontId="0" fillId="15" borderId="147" xfId="0" applyFill="1" applyBorder="1" applyAlignment="1">
      <alignment horizontal="center" vertical="center" shrinkToFit="1"/>
    </xf>
    <xf numFmtId="0" fontId="0" fillId="15" borderId="50" xfId="0" applyFill="1" applyBorder="1" applyAlignment="1">
      <alignment horizontal="center" vertical="center" shrinkToFit="1"/>
    </xf>
    <xf numFmtId="49" fontId="0" fillId="15" borderId="153" xfId="0" applyNumberFormat="1" applyFill="1" applyBorder="1" applyAlignment="1">
      <alignment horizontal="center" vertical="center" shrinkToFit="1"/>
    </xf>
    <xf numFmtId="49" fontId="40" fillId="15" borderId="159" xfId="0" applyNumberFormat="1" applyFont="1" applyFill="1" applyBorder="1" applyAlignment="1">
      <alignment horizontal="center" vertical="center" shrinkToFit="1"/>
    </xf>
    <xf numFmtId="49" fontId="0" fillId="15" borderId="16" xfId="0" applyNumberFormat="1" applyFill="1" applyBorder="1" applyAlignment="1">
      <alignment horizontal="center" vertical="center" shrinkToFit="1"/>
    </xf>
    <xf numFmtId="49" fontId="0" fillId="15" borderId="18" xfId="0" applyNumberFormat="1" applyFill="1" applyBorder="1" applyAlignment="1">
      <alignment horizontal="center" vertical="center" shrinkToFit="1"/>
    </xf>
    <xf numFmtId="0" fontId="0" fillId="15" borderId="150" xfId="0" applyFill="1" applyBorder="1" applyAlignment="1">
      <alignment horizontal="center" vertical="center" shrinkToFit="1"/>
    </xf>
    <xf numFmtId="0" fontId="0" fillId="15" borderId="30" xfId="0" applyFill="1" applyBorder="1" applyAlignment="1">
      <alignment horizontal="center" vertical="center" shrinkToFit="1"/>
    </xf>
    <xf numFmtId="49" fontId="40" fillId="15" borderId="0" xfId="0" applyNumberFormat="1" applyFont="1" applyFill="1" applyAlignment="1">
      <alignment horizontal="center" vertical="center" shrinkToFit="1"/>
    </xf>
    <xf numFmtId="49" fontId="0" fillId="15" borderId="22" xfId="0" applyNumberFormat="1" applyFill="1" applyBorder="1" applyAlignment="1">
      <alignment horizontal="center" vertical="center" shrinkToFit="1"/>
    </xf>
    <xf numFmtId="49" fontId="0" fillId="15" borderId="35" xfId="0" applyNumberFormat="1" applyFill="1" applyBorder="1" applyAlignment="1">
      <alignment horizontal="center" vertical="center" shrinkToFit="1"/>
    </xf>
    <xf numFmtId="49" fontId="0" fillId="15" borderId="151" xfId="0" applyNumberFormat="1" applyFill="1" applyBorder="1" applyAlignment="1">
      <alignment horizontal="center" vertical="center" shrinkToFit="1"/>
    </xf>
    <xf numFmtId="49" fontId="0" fillId="15" borderId="17" xfId="0" applyNumberFormat="1" applyFill="1" applyBorder="1" applyAlignment="1">
      <alignment horizontal="center" vertical="center" shrinkToFit="1"/>
    </xf>
    <xf numFmtId="49" fontId="40" fillId="15" borderId="49" xfId="0" applyNumberFormat="1" applyFont="1" applyFill="1" applyBorder="1" applyAlignment="1">
      <alignment horizontal="center" vertical="center" shrinkToFit="1"/>
    </xf>
    <xf numFmtId="49" fontId="0" fillId="15" borderId="20" xfId="0" applyNumberFormat="1" applyFill="1" applyBorder="1" applyAlignment="1">
      <alignment horizontal="center" vertical="center" shrinkToFit="1"/>
    </xf>
    <xf numFmtId="49" fontId="0" fillId="15" borderId="21" xfId="0" applyNumberFormat="1" applyFill="1" applyBorder="1" applyAlignment="1">
      <alignment horizontal="center" vertical="center" shrinkToFit="1"/>
    </xf>
    <xf numFmtId="0" fontId="0" fillId="15" borderId="142" xfId="0" applyFill="1" applyBorder="1" applyAlignment="1">
      <alignment horizontal="center" vertical="center" shrinkToFit="1"/>
    </xf>
    <xf numFmtId="49" fontId="0" fillId="15" borderId="145" xfId="0" applyNumberFormat="1" applyFill="1" applyBorder="1" applyAlignment="1">
      <alignment horizontal="center" vertical="center" shrinkToFit="1"/>
    </xf>
    <xf numFmtId="49" fontId="0" fillId="15" borderId="45" xfId="0" applyNumberFormat="1" applyFill="1" applyBorder="1" applyAlignment="1">
      <alignment horizontal="center" vertical="center" shrinkToFit="1"/>
    </xf>
    <xf numFmtId="0" fontId="0" fillId="15" borderId="143" xfId="0" applyFill="1" applyBorder="1" applyAlignment="1">
      <alignment horizontal="center" vertical="center" shrinkToFit="1"/>
    </xf>
    <xf numFmtId="0" fontId="0" fillId="15" borderId="148" xfId="0" applyFill="1" applyBorder="1" applyAlignment="1">
      <alignment horizontal="center" vertical="center" shrinkToFit="1"/>
    </xf>
    <xf numFmtId="49" fontId="0" fillId="15" borderId="148" xfId="0" applyNumberFormat="1" applyFill="1" applyBorder="1" applyAlignment="1">
      <alignment horizontal="center" vertical="center" shrinkToFit="1"/>
    </xf>
    <xf numFmtId="0" fontId="0" fillId="15" borderId="44" xfId="0" applyFill="1" applyBorder="1" applyAlignment="1">
      <alignment horizontal="center" vertical="center" shrinkToFit="1"/>
    </xf>
    <xf numFmtId="49" fontId="0" fillId="15" borderId="154" xfId="0" applyNumberFormat="1" applyFill="1" applyBorder="1" applyAlignment="1">
      <alignment horizontal="center" vertical="center" shrinkToFit="1"/>
    </xf>
    <xf numFmtId="49" fontId="40" fillId="15" borderId="73" xfId="0" applyNumberFormat="1" applyFont="1" applyFill="1" applyBorder="1" applyAlignment="1">
      <alignment horizontal="center" vertical="center" shrinkToFit="1"/>
    </xf>
    <xf numFmtId="49" fontId="0" fillId="15" borderId="59" xfId="0" applyNumberFormat="1" applyFill="1" applyBorder="1" applyAlignment="1">
      <alignment horizontal="center" vertical="center" shrinkToFit="1"/>
    </xf>
    <xf numFmtId="49" fontId="0" fillId="15" borderId="61" xfId="0" applyNumberFormat="1" applyFill="1" applyBorder="1" applyAlignment="1">
      <alignment horizontal="center" vertical="center" shrinkToFit="1"/>
    </xf>
    <xf numFmtId="49" fontId="24" fillId="15" borderId="8" xfId="0" applyNumberFormat="1" applyFont="1" applyFill="1" applyBorder="1" applyAlignment="1">
      <alignment vertical="center" shrinkToFit="1"/>
    </xf>
    <xf numFmtId="0" fontId="25" fillId="15" borderId="144" xfId="0" applyFont="1" applyFill="1" applyBorder="1" applyAlignment="1">
      <alignment horizontal="center" vertical="center" shrinkToFit="1"/>
    </xf>
    <xf numFmtId="0" fontId="25" fillId="15" borderId="149" xfId="0" applyFont="1" applyFill="1" applyBorder="1" applyAlignment="1">
      <alignment horizontal="center" vertical="center" shrinkToFit="1"/>
    </xf>
    <xf numFmtId="177" fontId="48" fillId="15" borderId="66" xfId="0" applyNumberFormat="1" applyFont="1" applyFill="1" applyBorder="1" applyAlignment="1">
      <alignment horizontal="center" vertical="center" shrinkToFit="1"/>
    </xf>
    <xf numFmtId="49" fontId="24" fillId="15" borderId="65" xfId="0" applyNumberFormat="1" applyFont="1" applyFill="1" applyBorder="1" applyAlignment="1">
      <alignment vertical="center" shrinkToFit="1"/>
    </xf>
    <xf numFmtId="0" fontId="0" fillId="13" borderId="141" xfId="0" applyFill="1" applyBorder="1" applyAlignment="1" applyProtection="1">
      <alignment horizontal="center" vertical="center" shrinkToFit="1"/>
      <protection locked="0"/>
    </xf>
    <xf numFmtId="49" fontId="0" fillId="13" borderId="155" xfId="0" applyNumberFormat="1" applyFill="1" applyBorder="1" applyAlignment="1" applyProtection="1">
      <alignment horizontal="center" vertical="center" shrinkToFit="1"/>
      <protection locked="0"/>
    </xf>
    <xf numFmtId="49" fontId="0" fillId="13" borderId="46" xfId="0" applyNumberFormat="1" applyFill="1" applyBorder="1" applyAlignment="1" applyProtection="1">
      <alignment horizontal="center" vertical="center" shrinkToFit="1"/>
      <protection locked="0"/>
    </xf>
    <xf numFmtId="49" fontId="0" fillId="13" borderId="157" xfId="0" applyNumberFormat="1" applyFill="1" applyBorder="1" applyAlignment="1" applyProtection="1">
      <alignment horizontal="center" vertical="center" shrinkToFit="1"/>
      <protection locked="0"/>
    </xf>
    <xf numFmtId="49" fontId="0" fillId="13" borderId="16" xfId="0" applyNumberFormat="1" applyFill="1" applyBorder="1" applyAlignment="1" applyProtection="1">
      <alignment horizontal="center" vertical="center" shrinkToFit="1"/>
      <protection locked="0"/>
    </xf>
    <xf numFmtId="49" fontId="0" fillId="13" borderId="158" xfId="0" applyNumberFormat="1" applyFill="1" applyBorder="1" applyAlignment="1" applyProtection="1">
      <alignment horizontal="center" vertical="center" shrinkToFit="1"/>
      <protection locked="0"/>
    </xf>
    <xf numFmtId="49" fontId="0" fillId="13" borderId="3" xfId="0" applyNumberFormat="1" applyFill="1" applyBorder="1" applyAlignment="1" applyProtection="1">
      <alignment horizontal="center" vertical="center" shrinkToFit="1"/>
      <protection locked="0"/>
    </xf>
    <xf numFmtId="49" fontId="0" fillId="13" borderId="47" xfId="0" applyNumberForma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vertical="center" shrinkToFit="1"/>
    </xf>
    <xf numFmtId="0" fontId="40" fillId="0" borderId="0" xfId="0" applyFont="1" applyAlignment="1">
      <alignment vertical="center" shrinkToFit="1"/>
    </xf>
    <xf numFmtId="0" fontId="50" fillId="0" borderId="0" xfId="2" applyFont="1" applyAlignment="1">
      <alignment horizontal="center" vertical="center"/>
    </xf>
    <xf numFmtId="0" fontId="50" fillId="0" borderId="70" xfId="2" applyFont="1" applyBorder="1" applyAlignment="1">
      <alignment horizontal="center" vertical="center"/>
    </xf>
    <xf numFmtId="178" fontId="0" fillId="12" borderId="78" xfId="0" applyNumberFormat="1" applyFill="1" applyBorder="1" applyAlignment="1" applyProtection="1">
      <alignment horizontal="center" vertical="center"/>
      <protection locked="0"/>
    </xf>
    <xf numFmtId="178" fontId="0" fillId="12" borderId="58" xfId="0" applyNumberFormat="1" applyFill="1" applyBorder="1" applyAlignment="1" applyProtection="1">
      <alignment horizontal="center" vertical="center"/>
      <protection locked="0"/>
    </xf>
    <xf numFmtId="178" fontId="0" fillId="12" borderId="15" xfId="0" applyNumberFormat="1" applyFill="1" applyBorder="1" applyAlignment="1" applyProtection="1">
      <alignment horizontal="center" vertical="center"/>
      <protection locked="0"/>
    </xf>
    <xf numFmtId="0" fontId="31" fillId="0" borderId="40" xfId="3" applyFont="1" applyBorder="1" applyAlignment="1">
      <alignment horizontal="center" vertical="center"/>
    </xf>
    <xf numFmtId="178" fontId="0" fillId="16" borderId="13" xfId="0" applyNumberFormat="1" applyFill="1" applyBorder="1" applyAlignment="1">
      <alignment horizontal="center" vertical="center"/>
    </xf>
    <xf numFmtId="0" fontId="0" fillId="16" borderId="46" xfId="0" applyFill="1" applyBorder="1" applyAlignment="1">
      <alignment horizontal="center" vertical="center"/>
    </xf>
    <xf numFmtId="0" fontId="22" fillId="0" borderId="3" xfId="3" applyBorder="1" applyAlignment="1">
      <alignment horizontal="center" vertical="center"/>
    </xf>
    <xf numFmtId="0" fontId="0" fillId="16" borderId="185" xfId="0" applyFill="1" applyBorder="1" applyAlignment="1">
      <alignment horizontal="center" vertical="center"/>
    </xf>
    <xf numFmtId="0" fontId="0" fillId="16" borderId="147" xfId="0" applyFill="1" applyBorder="1" applyAlignment="1">
      <alignment horizontal="center" vertical="center"/>
    </xf>
    <xf numFmtId="0" fontId="0" fillId="12" borderId="147" xfId="0" applyFill="1" applyBorder="1" applyAlignment="1" applyProtection="1">
      <alignment horizontal="center" vertical="center" shrinkToFit="1"/>
      <protection locked="0"/>
    </xf>
    <xf numFmtId="0" fontId="0" fillId="12" borderId="148" xfId="0" applyFill="1" applyBorder="1" applyAlignment="1" applyProtection="1">
      <alignment horizontal="center" vertical="center" shrinkToFit="1"/>
      <protection locked="0"/>
    </xf>
    <xf numFmtId="0" fontId="0" fillId="12" borderId="185" xfId="0" applyFill="1" applyBorder="1" applyAlignment="1" applyProtection="1">
      <alignment horizontal="center" vertical="center" shrinkToFit="1"/>
      <protection locked="0"/>
    </xf>
    <xf numFmtId="0" fontId="0" fillId="12" borderId="46" xfId="0" applyFill="1" applyBorder="1" applyAlignment="1" applyProtection="1">
      <alignment horizontal="center" vertical="center" shrinkToFit="1"/>
      <protection locked="0"/>
    </xf>
    <xf numFmtId="0" fontId="0" fillId="12" borderId="183" xfId="0" applyFill="1" applyBorder="1" applyAlignment="1" applyProtection="1">
      <alignment horizontal="center" vertical="center" shrinkToFit="1"/>
      <protection locked="0"/>
    </xf>
    <xf numFmtId="0" fontId="0" fillId="12" borderId="47" xfId="0" applyFill="1" applyBorder="1" applyAlignment="1" applyProtection="1">
      <alignment horizontal="center" vertical="center" shrinkToFit="1"/>
      <protection locked="0"/>
    </xf>
    <xf numFmtId="0" fontId="0" fillId="12" borderId="184" xfId="0" applyFill="1" applyBorder="1" applyAlignment="1" applyProtection="1">
      <alignment horizontal="center" vertical="center" shrinkToFit="1"/>
      <protection locked="0"/>
    </xf>
    <xf numFmtId="0" fontId="0" fillId="12" borderId="73" xfId="0" applyFill="1" applyBorder="1" applyAlignment="1" applyProtection="1">
      <alignment horizontal="center" vertical="center" shrinkToFit="1"/>
      <protection locked="0"/>
    </xf>
    <xf numFmtId="0" fontId="0" fillId="0" borderId="82" xfId="0" applyBorder="1" applyAlignment="1">
      <alignment horizontal="center" vertical="center"/>
    </xf>
    <xf numFmtId="0" fontId="0" fillId="0" borderId="98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177" fontId="0" fillId="4" borderId="133" xfId="0" applyNumberFormat="1" applyFill="1" applyBorder="1">
      <alignment vertical="center"/>
    </xf>
    <xf numFmtId="177" fontId="0" fillId="4" borderId="139" xfId="0" applyNumberFormat="1" applyFill="1" applyBorder="1">
      <alignment vertical="center"/>
    </xf>
    <xf numFmtId="177" fontId="0" fillId="0" borderId="195" xfId="0" applyNumberFormat="1" applyBorder="1" applyAlignment="1">
      <alignment horizontal="center" vertical="center"/>
    </xf>
    <xf numFmtId="0" fontId="0" fillId="0" borderId="196" xfId="0" applyBorder="1" applyAlignment="1">
      <alignment horizontal="center" vertical="center"/>
    </xf>
    <xf numFmtId="49" fontId="22" fillId="13" borderId="32" xfId="3" applyNumberFormat="1" applyFill="1" applyBorder="1" applyAlignment="1" applyProtection="1">
      <alignment horizontal="center" vertical="center"/>
      <protection locked="0"/>
    </xf>
    <xf numFmtId="49" fontId="22" fillId="13" borderId="36" xfId="3" applyNumberFormat="1" applyFill="1" applyBorder="1" applyAlignment="1" applyProtection="1">
      <alignment horizontal="center" vertical="center"/>
      <protection locked="0"/>
    </xf>
    <xf numFmtId="49" fontId="22" fillId="13" borderId="66" xfId="3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right" vertical="center"/>
    </xf>
    <xf numFmtId="176" fontId="42" fillId="0" borderId="0" xfId="0" applyNumberFormat="1" applyFont="1" applyAlignment="1">
      <alignment horizontal="center" vertical="center" shrinkToFit="1"/>
    </xf>
    <xf numFmtId="49" fontId="22" fillId="17" borderId="41" xfId="3" applyNumberFormat="1" applyFill="1" applyBorder="1" applyAlignment="1">
      <alignment horizontal="center" vertical="center"/>
    </xf>
    <xf numFmtId="49" fontId="22" fillId="17" borderId="43" xfId="3" applyNumberFormat="1" applyFill="1" applyBorder="1" applyAlignment="1">
      <alignment horizontal="center" vertical="center"/>
    </xf>
    <xf numFmtId="0" fontId="0" fillId="17" borderId="50" xfId="0" applyFill="1" applyBorder="1" applyAlignment="1">
      <alignment horizontal="center" vertical="center" shrinkToFit="1"/>
    </xf>
    <xf numFmtId="49" fontId="0" fillId="17" borderId="49" xfId="0" applyNumberFormat="1" applyFill="1" applyBorder="1" applyAlignment="1">
      <alignment horizontal="center" vertical="center" shrinkToFit="1"/>
    </xf>
    <xf numFmtId="0" fontId="0" fillId="17" borderId="30" xfId="0" applyFill="1" applyBorder="1" applyAlignment="1">
      <alignment horizontal="center" vertical="center" shrinkToFit="1"/>
    </xf>
    <xf numFmtId="49" fontId="22" fillId="17" borderId="38" xfId="3" applyNumberFormat="1" applyFill="1" applyBorder="1" applyAlignment="1">
      <alignment horizontal="center" vertical="center"/>
    </xf>
    <xf numFmtId="49" fontId="0" fillId="17" borderId="17" xfId="0" applyNumberFormat="1" applyFill="1" applyBorder="1" applyAlignment="1">
      <alignment horizontal="center" vertical="center" shrinkToFit="1"/>
    </xf>
    <xf numFmtId="49" fontId="22" fillId="17" borderId="39" xfId="3" applyNumberFormat="1" applyFill="1" applyBorder="1" applyAlignment="1">
      <alignment horizontal="center" vertical="center"/>
    </xf>
    <xf numFmtId="0" fontId="0" fillId="17" borderId="44" xfId="0" applyFill="1" applyBorder="1" applyAlignment="1">
      <alignment horizontal="center" vertical="center" shrinkToFit="1"/>
    </xf>
    <xf numFmtId="49" fontId="0" fillId="17" borderId="73" xfId="0" applyNumberFormat="1" applyFill="1" applyBorder="1" applyAlignment="1">
      <alignment horizontal="center" vertical="center" shrinkToFit="1"/>
    </xf>
    <xf numFmtId="49" fontId="0" fillId="17" borderId="45" xfId="0" applyNumberFormat="1" applyFill="1" applyBorder="1" applyAlignment="1">
      <alignment horizontal="center" vertical="center" shrinkToFit="1"/>
    </xf>
    <xf numFmtId="177" fontId="25" fillId="17" borderId="7" xfId="0" applyNumberFormat="1" applyFont="1" applyFill="1" applyBorder="1" applyAlignment="1">
      <alignment horizontal="center" vertical="center" shrinkToFit="1"/>
    </xf>
    <xf numFmtId="0" fontId="40" fillId="17" borderId="20" xfId="0" applyFont="1" applyFill="1" applyBorder="1" applyAlignment="1">
      <alignment horizontal="center" vertical="center" shrinkToFit="1"/>
    </xf>
    <xf numFmtId="0" fontId="40" fillId="17" borderId="17" xfId="0" applyFont="1" applyFill="1" applyBorder="1" applyAlignment="1">
      <alignment horizontal="center" vertical="center" shrinkToFit="1"/>
    </xf>
    <xf numFmtId="0" fontId="40" fillId="17" borderId="33" xfId="0" applyFont="1" applyFill="1" applyBorder="1" applyAlignment="1">
      <alignment horizontal="center" vertical="center" shrinkToFit="1"/>
    </xf>
    <xf numFmtId="0" fontId="52" fillId="17" borderId="39" xfId="3" applyFont="1" applyFill="1" applyBorder="1" applyAlignment="1">
      <alignment horizontal="center" vertical="center" wrapText="1"/>
    </xf>
    <xf numFmtId="0" fontId="12" fillId="17" borderId="199" xfId="3" applyFont="1" applyFill="1" applyBorder="1" applyAlignment="1">
      <alignment horizontal="center" vertical="center" wrapText="1"/>
    </xf>
    <xf numFmtId="49" fontId="0" fillId="17" borderId="74" xfId="0" applyNumberFormat="1" applyFill="1" applyBorder="1" applyAlignment="1">
      <alignment horizontal="center" vertical="center" shrinkToFit="1"/>
    </xf>
    <xf numFmtId="49" fontId="26" fillId="17" borderId="186" xfId="3" applyNumberFormat="1" applyFont="1" applyFill="1" applyBorder="1" applyAlignment="1">
      <alignment horizontal="center" vertical="center" wrapText="1"/>
    </xf>
    <xf numFmtId="0" fontId="0" fillId="18" borderId="20" xfId="0" applyFill="1" applyBorder="1">
      <alignment vertical="center"/>
    </xf>
    <xf numFmtId="0" fontId="0" fillId="18" borderId="17" xfId="0" applyFill="1" applyBorder="1">
      <alignment vertical="center"/>
    </xf>
    <xf numFmtId="0" fontId="0" fillId="18" borderId="22" xfId="0" applyFill="1" applyBorder="1" applyAlignment="1">
      <alignment horizontal="center" vertical="center"/>
    </xf>
    <xf numFmtId="0" fontId="0" fillId="18" borderId="30" xfId="0" applyFill="1" applyBorder="1" applyAlignment="1">
      <alignment horizontal="center" vertical="center"/>
    </xf>
    <xf numFmtId="0" fontId="0" fillId="18" borderId="16" xfId="0" applyFill="1" applyBorder="1">
      <alignment vertical="center"/>
    </xf>
    <xf numFmtId="0" fontId="0" fillId="18" borderId="5" xfId="0" applyFill="1" applyBorder="1">
      <alignment vertical="center"/>
    </xf>
    <xf numFmtId="0" fontId="30" fillId="19" borderId="0" xfId="0" applyFont="1" applyFill="1">
      <alignment vertical="center"/>
    </xf>
    <xf numFmtId="0" fontId="30" fillId="19" borderId="46" xfId="0" applyFont="1" applyFill="1" applyBorder="1" applyAlignment="1">
      <alignment horizontal="center" vertical="center"/>
    </xf>
    <xf numFmtId="177" fontId="12" fillId="19" borderId="54" xfId="0" applyNumberFormat="1" applyFont="1" applyFill="1" applyBorder="1" applyAlignment="1">
      <alignment horizontal="center" vertical="center"/>
    </xf>
    <xf numFmtId="177" fontId="12" fillId="19" borderId="24" xfId="0" applyNumberFormat="1" applyFont="1" applyFill="1" applyBorder="1" applyAlignment="1">
      <alignment horizontal="center" vertical="center"/>
    </xf>
    <xf numFmtId="177" fontId="12" fillId="19" borderId="11" xfId="0" applyNumberFormat="1" applyFont="1" applyFill="1" applyBorder="1" applyAlignment="1">
      <alignment horizontal="center" vertical="center"/>
    </xf>
    <xf numFmtId="0" fontId="12" fillId="19" borderId="51" xfId="0" applyFont="1" applyFill="1" applyBorder="1" applyAlignment="1">
      <alignment horizontal="center" vertical="center"/>
    </xf>
    <xf numFmtId="177" fontId="12" fillId="19" borderId="26" xfId="0" applyNumberFormat="1" applyFont="1" applyFill="1" applyBorder="1" applyAlignment="1">
      <alignment horizontal="center" vertical="center"/>
    </xf>
    <xf numFmtId="177" fontId="12" fillId="19" borderId="12" xfId="0" applyNumberFormat="1" applyFont="1" applyFill="1" applyBorder="1" applyAlignment="1">
      <alignment horizontal="center" vertical="center"/>
    </xf>
    <xf numFmtId="177" fontId="12" fillId="19" borderId="25" xfId="0" applyNumberFormat="1" applyFont="1" applyFill="1" applyBorder="1" applyAlignment="1">
      <alignment horizontal="center" vertical="center"/>
    </xf>
    <xf numFmtId="177" fontId="18" fillId="19" borderId="25" xfId="0" applyNumberFormat="1" applyFont="1" applyFill="1" applyBorder="1" applyAlignment="1">
      <alignment horizontal="center" vertical="center" wrapText="1"/>
    </xf>
    <xf numFmtId="177" fontId="12" fillId="19" borderId="71" xfId="0" applyNumberFormat="1" applyFont="1" applyFill="1" applyBorder="1" applyAlignment="1">
      <alignment horizontal="center" vertical="center"/>
    </xf>
    <xf numFmtId="0" fontId="26" fillId="19" borderId="0" xfId="0" applyFont="1" applyFill="1" applyAlignment="1">
      <alignment horizontal="center" vertical="center"/>
    </xf>
    <xf numFmtId="0" fontId="26" fillId="19" borderId="29" xfId="0" applyFont="1" applyFill="1" applyBorder="1">
      <alignment vertical="center"/>
    </xf>
    <xf numFmtId="0" fontId="28" fillId="19" borderId="87" xfId="0" applyFont="1" applyFill="1" applyBorder="1" applyAlignment="1">
      <alignment horizontal="center" vertical="center"/>
    </xf>
    <xf numFmtId="0" fontId="0" fillId="19" borderId="0" xfId="0" applyFill="1">
      <alignment vertical="center"/>
    </xf>
    <xf numFmtId="0" fontId="26" fillId="19" borderId="0" xfId="0" applyFont="1" applyFill="1">
      <alignment vertical="center"/>
    </xf>
    <xf numFmtId="0" fontId="28" fillId="19" borderId="70" xfId="0" applyFont="1" applyFill="1" applyBorder="1" applyAlignment="1">
      <alignment horizontal="center" vertical="center"/>
    </xf>
    <xf numFmtId="49" fontId="0" fillId="19" borderId="72" xfId="0" applyNumberFormat="1" applyFill="1" applyBorder="1" applyAlignment="1">
      <alignment horizontal="center" vertical="center"/>
    </xf>
    <xf numFmtId="0" fontId="26" fillId="19" borderId="72" xfId="0" applyFont="1" applyFill="1" applyBorder="1">
      <alignment vertical="center"/>
    </xf>
    <xf numFmtId="49" fontId="0" fillId="19" borderId="46" xfId="0" applyNumberFormat="1" applyFill="1" applyBorder="1" applyAlignment="1">
      <alignment horizontal="center" vertical="center"/>
    </xf>
    <xf numFmtId="0" fontId="26" fillId="19" borderId="46" xfId="0" applyFont="1" applyFill="1" applyBorder="1">
      <alignment vertical="center"/>
    </xf>
    <xf numFmtId="49" fontId="0" fillId="19" borderId="49" xfId="0" applyNumberFormat="1" applyFill="1" applyBorder="1" applyAlignment="1">
      <alignment horizontal="center" vertical="center"/>
    </xf>
    <xf numFmtId="0" fontId="26" fillId="19" borderId="49" xfId="0" applyFont="1" applyFill="1" applyBorder="1">
      <alignment vertical="center"/>
    </xf>
    <xf numFmtId="49" fontId="0" fillId="19" borderId="1" xfId="0" applyNumberFormat="1" applyFill="1" applyBorder="1" applyAlignment="1">
      <alignment horizontal="center" vertical="center"/>
    </xf>
    <xf numFmtId="0" fontId="0" fillId="20" borderId="20" xfId="0" applyFill="1" applyBorder="1">
      <alignment vertical="center"/>
    </xf>
    <xf numFmtId="0" fontId="0" fillId="20" borderId="22" xfId="0" applyFill="1" applyBorder="1" applyAlignment="1">
      <alignment horizontal="center" vertical="center"/>
    </xf>
    <xf numFmtId="0" fontId="0" fillId="20" borderId="16" xfId="0" applyFill="1" applyBorder="1">
      <alignment vertical="center"/>
    </xf>
    <xf numFmtId="0" fontId="28" fillId="0" borderId="0" xfId="0" applyFont="1" applyAlignment="1">
      <alignment horizontal="center" vertical="center"/>
    </xf>
    <xf numFmtId="0" fontId="10" fillId="2" borderId="42" xfId="2" applyFont="1" applyFill="1" applyBorder="1" applyAlignment="1">
      <alignment horizontal="center" vertical="center" shrinkToFit="1"/>
    </xf>
    <xf numFmtId="0" fontId="0" fillId="0" borderId="14" xfId="0" applyBorder="1" applyAlignment="1">
      <alignment horizontal="center" vertical="center"/>
    </xf>
    <xf numFmtId="177" fontId="12" fillId="6" borderId="54" xfId="0" applyNumberFormat="1" applyFont="1" applyFill="1" applyBorder="1" applyAlignment="1">
      <alignment horizontal="center" vertical="center"/>
    </xf>
    <xf numFmtId="177" fontId="12" fillId="6" borderId="123" xfId="0" applyNumberFormat="1" applyFont="1" applyFill="1" applyBorder="1" applyAlignment="1">
      <alignment horizontal="center" vertical="center"/>
    </xf>
    <xf numFmtId="177" fontId="12" fillId="6" borderId="160" xfId="0" applyNumberFormat="1" applyFont="1" applyFill="1" applyBorder="1" applyAlignment="1">
      <alignment horizontal="center" vertical="center"/>
    </xf>
    <xf numFmtId="177" fontId="18" fillId="0" borderId="160" xfId="0" applyNumberFormat="1" applyFont="1" applyBorder="1" applyAlignment="1">
      <alignment horizontal="center" vertical="center" wrapText="1"/>
    </xf>
    <xf numFmtId="177" fontId="12" fillId="6" borderId="201" xfId="0" applyNumberFormat="1" applyFont="1" applyFill="1" applyBorder="1" applyAlignment="1">
      <alignment horizontal="center" vertical="center"/>
    </xf>
    <xf numFmtId="0" fontId="12" fillId="0" borderId="25" xfId="3" applyFont="1" applyBorder="1" applyAlignment="1">
      <alignment horizontal="center" vertical="center"/>
    </xf>
    <xf numFmtId="177" fontId="12" fillId="6" borderId="12" xfId="3" applyNumberFormat="1" applyFont="1" applyFill="1" applyBorder="1" applyAlignment="1">
      <alignment horizontal="center" vertical="center"/>
    </xf>
    <xf numFmtId="177" fontId="12" fillId="6" borderId="25" xfId="3" applyNumberFormat="1" applyFont="1" applyFill="1" applyBorder="1" applyAlignment="1">
      <alignment horizontal="center" vertical="center"/>
    </xf>
    <xf numFmtId="177" fontId="18" fillId="0" borderId="25" xfId="3" applyNumberFormat="1" applyFont="1" applyBorder="1" applyAlignment="1">
      <alignment horizontal="center" vertical="center" wrapText="1"/>
    </xf>
    <xf numFmtId="177" fontId="12" fillId="6" borderId="71" xfId="3" applyNumberFormat="1" applyFont="1" applyFill="1" applyBorder="1" applyAlignment="1">
      <alignment horizontal="center" vertical="center"/>
    </xf>
    <xf numFmtId="0" fontId="28" fillId="6" borderId="0" xfId="0" applyFont="1" applyFill="1" applyAlignment="1">
      <alignment horizontal="center" vertical="center"/>
    </xf>
    <xf numFmtId="49" fontId="0" fillId="6" borderId="72" xfId="0" applyNumberFormat="1" applyFill="1" applyBorder="1" applyAlignment="1">
      <alignment horizontal="center" vertical="center"/>
    </xf>
    <xf numFmtId="0" fontId="26" fillId="0" borderId="72" xfId="0" applyFont="1" applyBorder="1" applyAlignment="1">
      <alignment horizontal="center" vertical="center"/>
    </xf>
    <xf numFmtId="0" fontId="22" fillId="0" borderId="30" xfId="3" applyBorder="1">
      <alignment vertical="center"/>
    </xf>
    <xf numFmtId="0" fontId="28" fillId="6" borderId="70" xfId="3" applyFont="1" applyFill="1" applyBorder="1" applyAlignment="1">
      <alignment horizontal="center" vertical="center"/>
    </xf>
    <xf numFmtId="49" fontId="22" fillId="6" borderId="72" xfId="3" applyNumberFormat="1" applyFill="1" applyBorder="1" applyAlignment="1">
      <alignment horizontal="center" vertical="center"/>
    </xf>
    <xf numFmtId="0" fontId="26" fillId="0" borderId="72" xfId="3" applyFont="1" applyBorder="1" applyAlignment="1">
      <alignment horizontal="center" vertical="center"/>
    </xf>
    <xf numFmtId="49" fontId="0" fillId="6" borderId="0" xfId="0" applyNumberFormat="1" applyFill="1" applyAlignment="1">
      <alignment horizontal="center" vertical="center"/>
    </xf>
    <xf numFmtId="0" fontId="26" fillId="0" borderId="0" xfId="0" applyFont="1" applyAlignment="1">
      <alignment horizontal="center" vertical="center"/>
    </xf>
    <xf numFmtId="49" fontId="22" fillId="6" borderId="0" xfId="3" applyNumberFormat="1" applyFill="1" applyAlignment="1">
      <alignment horizontal="center" vertical="center"/>
    </xf>
    <xf numFmtId="0" fontId="26" fillId="0" borderId="0" xfId="3" applyFont="1" applyAlignment="1">
      <alignment horizontal="center" vertical="center"/>
    </xf>
    <xf numFmtId="49" fontId="22" fillId="6" borderId="46" xfId="3" applyNumberFormat="1" applyFill="1" applyBorder="1" applyAlignment="1">
      <alignment horizontal="center" vertical="center"/>
    </xf>
    <xf numFmtId="0" fontId="26" fillId="0" borderId="46" xfId="3" applyFont="1" applyBorder="1" applyAlignment="1">
      <alignment horizontal="center" vertical="center"/>
    </xf>
    <xf numFmtId="49" fontId="22" fillId="6" borderId="49" xfId="3" applyNumberFormat="1" applyFill="1" applyBorder="1" applyAlignment="1">
      <alignment horizontal="center" vertical="center"/>
    </xf>
    <xf numFmtId="0" fontId="26" fillId="0" borderId="49" xfId="3" applyFont="1" applyBorder="1" applyAlignment="1">
      <alignment horizontal="center" vertical="center"/>
    </xf>
    <xf numFmtId="0" fontId="0" fillId="6" borderId="0" xfId="0" applyFill="1">
      <alignment vertical="center"/>
    </xf>
    <xf numFmtId="0" fontId="0" fillId="6" borderId="0" xfId="0" applyFill="1" applyAlignment="1">
      <alignment horizontal="center" vertical="center"/>
    </xf>
    <xf numFmtId="0" fontId="34" fillId="0" borderId="0" xfId="3" applyFont="1">
      <alignment vertical="center"/>
    </xf>
    <xf numFmtId="38" fontId="41" fillId="0" borderId="0" xfId="0" applyNumberFormat="1" applyFont="1">
      <alignment vertical="center"/>
    </xf>
    <xf numFmtId="0" fontId="53" fillId="0" borderId="46" xfId="2" applyFont="1" applyBorder="1" applyAlignment="1">
      <alignment horizontal="center" wrapText="1"/>
    </xf>
    <xf numFmtId="0" fontId="53" fillId="0" borderId="47" xfId="2" applyFont="1" applyBorder="1" applyAlignment="1">
      <alignment horizontal="center" wrapText="1"/>
    </xf>
    <xf numFmtId="0" fontId="54" fillId="0" borderId="202" xfId="0" applyFont="1" applyBorder="1" applyAlignment="1">
      <alignment horizontal="center" vertical="center" wrapText="1"/>
    </xf>
    <xf numFmtId="38" fontId="0" fillId="0" borderId="204" xfId="1" applyFont="1" applyBorder="1">
      <alignment vertical="center"/>
    </xf>
    <xf numFmtId="176" fontId="42" fillId="0" borderId="1" xfId="0" applyNumberFormat="1" applyFont="1" applyBorder="1" applyAlignment="1">
      <alignment vertical="center" shrinkToFit="1"/>
    </xf>
    <xf numFmtId="0" fontId="55" fillId="0" borderId="0" xfId="2" applyFont="1" applyProtection="1">
      <protection locked="0"/>
    </xf>
    <xf numFmtId="0" fontId="27" fillId="15" borderId="0" xfId="0" applyFont="1" applyFill="1" applyAlignment="1">
      <alignment horizontal="center" vertical="center" wrapText="1" shrinkToFit="1"/>
    </xf>
    <xf numFmtId="49" fontId="0" fillId="17" borderId="14" xfId="0" applyNumberFormat="1" applyFill="1" applyBorder="1" applyAlignment="1">
      <alignment horizontal="center" vertical="center" shrinkToFit="1"/>
    </xf>
    <xf numFmtId="49" fontId="0" fillId="17" borderId="22" xfId="0" applyNumberFormat="1" applyFill="1" applyBorder="1" applyAlignment="1">
      <alignment horizontal="center" vertical="center" shrinkToFit="1"/>
    </xf>
    <xf numFmtId="49" fontId="0" fillId="17" borderId="20" xfId="0" applyNumberFormat="1" applyFill="1" applyBorder="1" applyAlignment="1">
      <alignment horizontal="center" vertical="center" shrinkToFit="1"/>
    </xf>
    <xf numFmtId="49" fontId="0" fillId="17" borderId="59" xfId="0" applyNumberFormat="1" applyFill="1" applyBorder="1" applyAlignment="1">
      <alignment horizontal="center" vertical="center" shrinkToFit="1"/>
    </xf>
    <xf numFmtId="0" fontId="0" fillId="20" borderId="21" xfId="0" applyFill="1" applyBorder="1">
      <alignment vertical="center"/>
    </xf>
    <xf numFmtId="0" fontId="0" fillId="20" borderId="35" xfId="0" applyFill="1" applyBorder="1" applyAlignment="1">
      <alignment horizontal="center" vertical="center"/>
    </xf>
    <xf numFmtId="0" fontId="0" fillId="20" borderId="18" xfId="0" applyFill="1" applyBorder="1">
      <alignment vertical="center"/>
    </xf>
    <xf numFmtId="49" fontId="0" fillId="13" borderId="16" xfId="0" applyNumberFormat="1" applyFill="1" applyBorder="1" applyAlignment="1">
      <alignment horizontal="center" vertical="center" shrinkToFit="1"/>
    </xf>
    <xf numFmtId="49" fontId="0" fillId="13" borderId="3" xfId="0" applyNumberFormat="1" applyFill="1" applyBorder="1" applyAlignment="1">
      <alignment horizontal="center" vertical="center" shrinkToFit="1"/>
    </xf>
    <xf numFmtId="0" fontId="0" fillId="13" borderId="16" xfId="0" applyFill="1" applyBorder="1" applyAlignment="1">
      <alignment horizontal="left" vertical="center" shrinkToFit="1"/>
    </xf>
    <xf numFmtId="0" fontId="37" fillId="13" borderId="41" xfId="3" applyFont="1" applyFill="1" applyBorder="1" applyAlignment="1">
      <alignment horizontal="center" vertical="center"/>
    </xf>
    <xf numFmtId="0" fontId="37" fillId="13" borderId="52" xfId="3" applyFont="1" applyFill="1" applyBorder="1" applyAlignment="1">
      <alignment horizontal="center" vertical="center"/>
    </xf>
    <xf numFmtId="0" fontId="37" fillId="13" borderId="82" xfId="3" applyFont="1" applyFill="1" applyBorder="1" applyAlignment="1">
      <alignment horizontal="center" vertical="center"/>
    </xf>
    <xf numFmtId="49" fontId="0" fillId="13" borderId="32" xfId="0" applyNumberFormat="1" applyFill="1" applyBorder="1" applyAlignment="1">
      <alignment horizontal="center" vertical="center" shrinkToFit="1"/>
    </xf>
    <xf numFmtId="0" fontId="30" fillId="19" borderId="57" xfId="0" applyFont="1" applyFill="1" applyBorder="1" applyAlignment="1">
      <alignment horizontal="center" vertical="center"/>
    </xf>
    <xf numFmtId="0" fontId="26" fillId="19" borderId="68" xfId="0" applyFont="1" applyFill="1" applyBorder="1">
      <alignment vertical="center"/>
    </xf>
    <xf numFmtId="0" fontId="7" fillId="0" borderId="192" xfId="2" applyFont="1" applyBorder="1" applyAlignment="1">
      <alignment vertical="center"/>
    </xf>
    <xf numFmtId="0" fontId="10" fillId="2" borderId="53" xfId="2" applyFont="1" applyFill="1" applyBorder="1" applyAlignment="1">
      <alignment horizontal="center" vertical="center" shrinkToFit="1"/>
    </xf>
    <xf numFmtId="0" fontId="27" fillId="0" borderId="94" xfId="0" applyFont="1" applyBorder="1" applyAlignment="1">
      <alignment vertical="center" wrapText="1"/>
    </xf>
    <xf numFmtId="0" fontId="27" fillId="0" borderId="66" xfId="0" applyFont="1" applyBorder="1" applyAlignment="1">
      <alignment vertical="center" wrapText="1"/>
    </xf>
    <xf numFmtId="0" fontId="11" fillId="0" borderId="29" xfId="0" applyFont="1" applyBorder="1">
      <alignment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9" fillId="0" borderId="29" xfId="2" applyFont="1" applyBorder="1" applyAlignment="1">
      <alignment vertical="center" shrinkToFit="1"/>
    </xf>
    <xf numFmtId="0" fontId="9" fillId="0" borderId="0" xfId="2" applyFont="1" applyAlignment="1">
      <alignment vertical="center" shrinkToFit="1"/>
    </xf>
    <xf numFmtId="0" fontId="9" fillId="0" borderId="0" xfId="2" applyFont="1" applyAlignment="1">
      <alignment horizontal="center" vertical="center" shrinkToFit="1"/>
    </xf>
    <xf numFmtId="0" fontId="17" fillId="0" borderId="29" xfId="2" applyFont="1" applyBorder="1" applyAlignment="1">
      <alignment vertical="center"/>
    </xf>
    <xf numFmtId="0" fontId="17" fillId="0" borderId="87" xfId="2" applyFont="1" applyBorder="1" applyAlignment="1">
      <alignment vertical="center"/>
    </xf>
    <xf numFmtId="0" fontId="17" fillId="0" borderId="94" xfId="2" applyFont="1" applyBorder="1" applyAlignment="1">
      <alignment vertical="center"/>
    </xf>
    <xf numFmtId="0" fontId="17" fillId="0" borderId="66" xfId="2" applyFont="1" applyBorder="1" applyAlignment="1">
      <alignment vertical="center"/>
    </xf>
    <xf numFmtId="0" fontId="7" fillId="0" borderId="0" xfId="2" applyFont="1" applyAlignment="1">
      <alignment vertical="center"/>
    </xf>
    <xf numFmtId="5" fontId="2" fillId="0" borderId="77" xfId="2" applyNumberFormat="1" applyBorder="1" applyAlignment="1">
      <alignment vertical="center"/>
    </xf>
    <xf numFmtId="0" fontId="57" fillId="0" borderId="49" xfId="2" applyFont="1" applyBorder="1" applyAlignment="1">
      <alignment horizontal="center"/>
    </xf>
    <xf numFmtId="3" fontId="57" fillId="0" borderId="49" xfId="2" applyNumberFormat="1" applyFont="1" applyBorder="1"/>
    <xf numFmtId="0" fontId="57" fillId="0" borderId="0" xfId="2" applyFont="1" applyAlignment="1">
      <alignment horizontal="center"/>
    </xf>
    <xf numFmtId="3" fontId="57" fillId="0" borderId="0" xfId="2" applyNumberFormat="1" applyFont="1"/>
    <xf numFmtId="0" fontId="58" fillId="0" borderId="49" xfId="2" applyFont="1" applyBorder="1" applyAlignment="1">
      <alignment horizontal="center" wrapText="1"/>
    </xf>
    <xf numFmtId="38" fontId="22" fillId="0" borderId="0" xfId="1" applyAlignment="1">
      <alignment vertical="center"/>
    </xf>
    <xf numFmtId="14" fontId="0" fillId="0" borderId="0" xfId="0" applyNumberFormat="1">
      <alignment vertical="center"/>
    </xf>
    <xf numFmtId="176" fontId="42" fillId="0" borderId="1" xfId="0" applyNumberFormat="1" applyFont="1" applyBorder="1">
      <alignment vertical="center"/>
    </xf>
    <xf numFmtId="0" fontId="27" fillId="6" borderId="57" xfId="0" applyFont="1" applyFill="1" applyBorder="1">
      <alignment vertical="center"/>
    </xf>
    <xf numFmtId="0" fontId="27" fillId="6" borderId="83" xfId="0" applyFont="1" applyFill="1" applyBorder="1">
      <alignment vertical="center"/>
    </xf>
    <xf numFmtId="0" fontId="61" fillId="0" borderId="0" xfId="0" applyFont="1">
      <alignment vertical="center"/>
    </xf>
    <xf numFmtId="0" fontId="62" fillId="0" borderId="0" xfId="0" applyFont="1">
      <alignment vertical="center"/>
    </xf>
    <xf numFmtId="0" fontId="16" fillId="0" borderId="192" xfId="2" applyFont="1" applyBorder="1" applyAlignment="1">
      <alignment vertical="center"/>
    </xf>
    <xf numFmtId="49" fontId="0" fillId="13" borderId="32" xfId="3" applyNumberFormat="1" applyFont="1" applyFill="1" applyBorder="1" applyAlignment="1" applyProtection="1">
      <alignment horizontal="center" vertical="center"/>
      <protection locked="0"/>
    </xf>
    <xf numFmtId="0" fontId="63" fillId="15" borderId="211" xfId="0" applyFont="1" applyFill="1" applyBorder="1" applyAlignment="1">
      <alignment horizontal="center" vertical="center" shrinkToFit="1"/>
    </xf>
    <xf numFmtId="0" fontId="64" fillId="15" borderId="212" xfId="0" applyFont="1" applyFill="1" applyBorder="1" applyAlignment="1">
      <alignment horizontal="center" vertical="center" shrinkToFit="1"/>
    </xf>
    <xf numFmtId="0" fontId="63" fillId="15" borderId="213" xfId="0" applyFont="1" applyFill="1" applyBorder="1" applyAlignment="1">
      <alignment horizontal="center" vertical="center" shrinkToFit="1"/>
    </xf>
    <xf numFmtId="177" fontId="64" fillId="15" borderId="212" xfId="0" applyNumberFormat="1" applyFont="1" applyFill="1" applyBorder="1" applyAlignment="1">
      <alignment horizontal="center" vertical="center" shrinkToFit="1"/>
    </xf>
    <xf numFmtId="49" fontId="65" fillId="15" borderId="216" xfId="0" applyNumberFormat="1" applyFont="1" applyFill="1" applyBorder="1" applyAlignment="1">
      <alignment vertical="center" shrinkToFit="1"/>
    </xf>
    <xf numFmtId="0" fontId="0" fillId="20" borderId="0" xfId="0" applyFill="1">
      <alignment vertical="center"/>
    </xf>
    <xf numFmtId="0" fontId="28" fillId="20" borderId="0" xfId="0" applyFont="1" applyFill="1" applyAlignment="1">
      <alignment horizontal="center" vertical="center"/>
    </xf>
    <xf numFmtId="0" fontId="2" fillId="0" borderId="0" xfId="2" applyAlignment="1">
      <alignment vertical="center"/>
    </xf>
    <xf numFmtId="0" fontId="10" fillId="0" borderId="0" xfId="2" applyFont="1"/>
    <xf numFmtId="0" fontId="10" fillId="0" borderId="0" xfId="2" applyFont="1" applyAlignment="1">
      <alignment horizontal="center" vertical="center"/>
    </xf>
    <xf numFmtId="0" fontId="8" fillId="0" borderId="0" xfId="2" applyFont="1" applyAlignment="1">
      <alignment vertical="center"/>
    </xf>
    <xf numFmtId="0" fontId="0" fillId="0" borderId="0" xfId="4" applyFont="1" applyAlignment="1">
      <alignment horizontal="right" vertical="center"/>
    </xf>
    <xf numFmtId="0" fontId="27" fillId="17" borderId="67" xfId="3" applyFont="1" applyFill="1" applyBorder="1" applyAlignment="1">
      <alignment vertical="center" wrapText="1"/>
    </xf>
    <xf numFmtId="0" fontId="27" fillId="17" borderId="70" xfId="3" applyFont="1" applyFill="1" applyBorder="1" applyAlignment="1">
      <alignment vertical="center" wrapText="1"/>
    </xf>
    <xf numFmtId="177" fontId="25" fillId="17" borderId="83" xfId="3" applyNumberFormat="1" applyFont="1" applyFill="1" applyBorder="1" applyAlignment="1">
      <alignment horizontal="center" vertical="center"/>
    </xf>
    <xf numFmtId="177" fontId="25" fillId="17" borderId="218" xfId="3" applyNumberFormat="1" applyFont="1" applyFill="1" applyBorder="1">
      <alignment vertical="center"/>
    </xf>
    <xf numFmtId="49" fontId="22" fillId="13" borderId="38" xfId="3" applyNumberFormat="1" applyFill="1" applyBorder="1" applyAlignment="1" applyProtection="1">
      <alignment horizontal="center" vertical="center"/>
      <protection locked="0"/>
    </xf>
    <xf numFmtId="49" fontId="0" fillId="13" borderId="38" xfId="3" applyNumberFormat="1" applyFont="1" applyFill="1" applyBorder="1" applyAlignment="1" applyProtection="1">
      <alignment horizontal="center" vertical="center"/>
      <protection locked="0"/>
    </xf>
    <xf numFmtId="49" fontId="22" fillId="13" borderId="90" xfId="3" applyNumberFormat="1" applyFill="1" applyBorder="1" applyAlignment="1" applyProtection="1">
      <alignment horizontal="center" vertical="center"/>
      <protection locked="0"/>
    </xf>
    <xf numFmtId="49" fontId="0" fillId="13" borderId="65" xfId="0" applyNumberFormat="1" applyFill="1" applyBorder="1" applyAlignment="1" applyProtection="1">
      <alignment horizontal="center" vertical="center" shrinkToFit="1"/>
      <protection locked="0"/>
    </xf>
    <xf numFmtId="49" fontId="0" fillId="13" borderId="66" xfId="0" applyNumberFormat="1" applyFill="1" applyBorder="1" applyAlignment="1">
      <alignment horizontal="center" vertical="center" shrinkToFit="1"/>
    </xf>
    <xf numFmtId="49" fontId="0" fillId="13" borderId="1" xfId="0" applyNumberFormat="1" applyFill="1" applyBorder="1" applyAlignment="1" applyProtection="1">
      <alignment horizontal="center" vertical="center" shrinkToFit="1"/>
      <protection locked="0"/>
    </xf>
    <xf numFmtId="49" fontId="0" fillId="13" borderId="65" xfId="0" applyNumberFormat="1" applyFill="1" applyBorder="1" applyAlignment="1">
      <alignment horizontal="center" vertical="center" shrinkToFit="1"/>
    </xf>
    <xf numFmtId="49" fontId="22" fillId="13" borderId="68" xfId="3" applyNumberFormat="1" applyFill="1" applyBorder="1" applyAlignment="1" applyProtection="1">
      <alignment horizontal="center" vertical="center"/>
      <protection locked="0"/>
    </xf>
    <xf numFmtId="0" fontId="0" fillId="0" borderId="65" xfId="0" applyBorder="1" applyAlignment="1" applyProtection="1">
      <alignment horizontal="left" vertical="center"/>
      <protection locked="0"/>
    </xf>
    <xf numFmtId="0" fontId="0" fillId="0" borderId="62" xfId="0" applyBorder="1" applyAlignment="1" applyProtection="1">
      <alignment horizontal="center" vertical="center"/>
      <protection locked="0"/>
    </xf>
    <xf numFmtId="176" fontId="0" fillId="0" borderId="62" xfId="0" applyNumberFormat="1" applyBorder="1" applyAlignment="1" applyProtection="1">
      <alignment horizontal="center" vertical="center"/>
      <protection locked="0"/>
    </xf>
    <xf numFmtId="38" fontId="22" fillId="4" borderId="82" xfId="1" applyFill="1" applyBorder="1" applyAlignment="1">
      <alignment horizontal="right" vertical="center"/>
    </xf>
    <xf numFmtId="0" fontId="0" fillId="0" borderId="64" xfId="0" applyBorder="1" applyAlignment="1">
      <alignment horizontal="center" vertical="center"/>
    </xf>
    <xf numFmtId="176" fontId="0" fillId="0" borderId="66" xfId="0" applyNumberFormat="1" applyBorder="1" applyAlignment="1" applyProtection="1">
      <alignment horizontal="center" vertical="center"/>
      <protection locked="0"/>
    </xf>
    <xf numFmtId="176" fontId="0" fillId="0" borderId="68" xfId="0" applyNumberFormat="1" applyBorder="1" applyAlignment="1" applyProtection="1">
      <alignment horizontal="center" vertical="center"/>
      <protection locked="0"/>
    </xf>
    <xf numFmtId="0" fontId="0" fillId="13" borderId="94" xfId="0" applyFill="1" applyBorder="1" applyAlignment="1" applyProtection="1">
      <alignment horizontal="center" vertical="center"/>
      <protection locked="0"/>
    </xf>
    <xf numFmtId="49" fontId="0" fillId="0" borderId="64" xfId="0" applyNumberFormat="1" applyBorder="1" applyAlignment="1" applyProtection="1">
      <alignment horizontal="center" vertical="center"/>
      <protection locked="0"/>
    </xf>
    <xf numFmtId="49" fontId="0" fillId="13" borderId="66" xfId="0" applyNumberFormat="1" applyFill="1" applyBorder="1" applyAlignment="1" applyProtection="1">
      <alignment horizontal="center" vertical="center"/>
      <protection locked="0"/>
    </xf>
    <xf numFmtId="49" fontId="0" fillId="13" borderId="65" xfId="0" applyNumberFormat="1" applyFill="1" applyBorder="1" applyAlignment="1" applyProtection="1">
      <alignment horizontal="center" vertical="center"/>
      <protection locked="0"/>
    </xf>
    <xf numFmtId="176" fontId="0" fillId="13" borderId="1" xfId="0" applyNumberFormat="1" applyFill="1" applyBorder="1" applyAlignment="1" applyProtection="1">
      <alignment horizontal="center" vertical="center"/>
      <protection locked="0"/>
    </xf>
    <xf numFmtId="49" fontId="0" fillId="13" borderId="68" xfId="0" applyNumberFormat="1" applyFill="1" applyBorder="1" applyAlignment="1" applyProtection="1">
      <alignment horizontal="center" vertical="center"/>
      <protection locked="0"/>
    </xf>
    <xf numFmtId="0" fontId="0" fillId="0" borderId="1" xfId="0" applyBorder="1">
      <alignment vertical="center"/>
    </xf>
    <xf numFmtId="0" fontId="0" fillId="13" borderId="144" xfId="0" applyFill="1" applyBorder="1" applyAlignment="1" applyProtection="1">
      <alignment horizontal="center" vertical="center" shrinkToFit="1"/>
      <protection locked="0"/>
    </xf>
    <xf numFmtId="0" fontId="40" fillId="13" borderId="66" xfId="0" applyFont="1" applyFill="1" applyBorder="1" applyAlignment="1">
      <alignment horizontal="center" vertical="center" shrinkToFit="1"/>
    </xf>
    <xf numFmtId="49" fontId="0" fillId="13" borderId="156" xfId="0" applyNumberFormat="1" applyFill="1" applyBorder="1" applyAlignment="1" applyProtection="1">
      <alignment horizontal="center" vertical="center" shrinkToFit="1"/>
      <protection locked="0"/>
    </xf>
    <xf numFmtId="0" fontId="0" fillId="13" borderId="97" xfId="0" applyFill="1" applyBorder="1" applyAlignment="1">
      <alignment horizontal="left" vertical="center" shrinkToFit="1"/>
    </xf>
    <xf numFmtId="0" fontId="40" fillId="13" borderId="46" xfId="0" applyFont="1" applyFill="1" applyBorder="1" applyAlignment="1">
      <alignment horizontal="center" vertical="center" shrinkToFit="1"/>
    </xf>
    <xf numFmtId="0" fontId="40" fillId="13" borderId="1" xfId="0" applyFont="1" applyFill="1" applyBorder="1" applyAlignment="1">
      <alignment horizontal="center" vertical="center" shrinkToFit="1"/>
    </xf>
    <xf numFmtId="0" fontId="0" fillId="13" borderId="219" xfId="0" applyFill="1" applyBorder="1" applyAlignment="1" applyProtection="1">
      <alignment horizontal="center" vertical="center" shrinkToFit="1"/>
      <protection locked="0"/>
    </xf>
    <xf numFmtId="0" fontId="0" fillId="13" borderId="220" xfId="0" applyFill="1" applyBorder="1" applyAlignment="1" applyProtection="1">
      <alignment horizontal="center" vertical="center" shrinkToFit="1"/>
      <protection locked="0"/>
    </xf>
    <xf numFmtId="0" fontId="0" fillId="13" borderId="143" xfId="0" applyFill="1" applyBorder="1" applyAlignment="1" applyProtection="1">
      <alignment horizontal="center" vertical="center" shrinkToFit="1"/>
      <protection locked="0"/>
    </xf>
    <xf numFmtId="0" fontId="67" fillId="0" borderId="0" xfId="2" applyFont="1" applyAlignment="1">
      <alignment vertical="center"/>
    </xf>
    <xf numFmtId="0" fontId="40" fillId="17" borderId="20" xfId="0" applyFont="1" applyFill="1" applyBorder="1" applyAlignment="1">
      <alignment horizontal="center" vertical="center" wrapText="1" shrinkToFit="1"/>
    </xf>
    <xf numFmtId="0" fontId="40" fillId="17" borderId="39" xfId="3" applyFont="1" applyFill="1" applyBorder="1" applyAlignment="1">
      <alignment horizontal="center" vertical="center" shrinkToFit="1"/>
    </xf>
    <xf numFmtId="49" fontId="26" fillId="17" borderId="50" xfId="3" applyNumberFormat="1" applyFont="1" applyFill="1" applyBorder="1" applyAlignment="1">
      <alignment horizontal="center" vertical="center" wrapText="1"/>
    </xf>
    <xf numFmtId="49" fontId="22" fillId="17" borderId="5" xfId="3" applyNumberFormat="1" applyFill="1" applyBorder="1" applyAlignment="1">
      <alignment horizontal="center" vertical="center"/>
    </xf>
    <xf numFmtId="49" fontId="22" fillId="17" borderId="17" xfId="3" applyNumberFormat="1" applyFill="1" applyBorder="1" applyAlignment="1">
      <alignment horizontal="center" vertical="center"/>
    </xf>
    <xf numFmtId="49" fontId="22" fillId="13" borderId="46" xfId="3" applyNumberFormat="1" applyFill="1" applyBorder="1" applyAlignment="1" applyProtection="1">
      <alignment horizontal="center" vertical="center"/>
      <protection locked="0"/>
    </xf>
    <xf numFmtId="49" fontId="0" fillId="13" borderId="46" xfId="3" applyNumberFormat="1" applyFont="1" applyFill="1" applyBorder="1" applyAlignment="1" applyProtection="1">
      <alignment horizontal="center" vertical="center"/>
      <protection locked="0"/>
    </xf>
    <xf numFmtId="49" fontId="22" fillId="13" borderId="47" xfId="3" applyNumberFormat="1" applyFill="1" applyBorder="1" applyAlignment="1" applyProtection="1">
      <alignment horizontal="center" vertical="center"/>
      <protection locked="0"/>
    </xf>
    <xf numFmtId="49" fontId="22" fillId="13" borderId="1" xfId="3" applyNumberFormat="1" applyFill="1" applyBorder="1" applyAlignment="1" applyProtection="1">
      <alignment horizontal="center" vertical="center"/>
      <protection locked="0"/>
    </xf>
    <xf numFmtId="0" fontId="26" fillId="19" borderId="1" xfId="0" applyFont="1" applyFill="1" applyBorder="1">
      <alignment vertical="center"/>
    </xf>
    <xf numFmtId="49" fontId="0" fillId="6" borderId="49" xfId="0" applyNumberFormat="1" applyFill="1" applyBorder="1" applyAlignment="1">
      <alignment horizontal="center" vertical="center"/>
    </xf>
    <xf numFmtId="0" fontId="26" fillId="0" borderId="49" xfId="0" applyFont="1" applyBorder="1" applyAlignment="1">
      <alignment horizontal="center" vertical="center"/>
    </xf>
    <xf numFmtId="49" fontId="0" fillId="6" borderId="46" xfId="0" applyNumberFormat="1" applyFill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54" fillId="0" borderId="221" xfId="0" applyFont="1" applyBorder="1" applyAlignment="1">
      <alignment horizontal="center" vertical="center" wrapText="1"/>
    </xf>
    <xf numFmtId="38" fontId="0" fillId="0" borderId="174" xfId="1" applyFont="1" applyBorder="1">
      <alignment vertical="center"/>
    </xf>
    <xf numFmtId="0" fontId="0" fillId="13" borderId="16" xfId="0" applyFill="1" applyBorder="1" applyAlignment="1">
      <alignment horizontal="center" vertical="center" shrinkToFit="1"/>
    </xf>
    <xf numFmtId="38" fontId="2" fillId="0" borderId="46" xfId="1" applyFont="1" applyFill="1" applyBorder="1" applyAlignment="1"/>
    <xf numFmtId="38" fontId="12" fillId="0" borderId="46" xfId="1" applyFont="1" applyFill="1" applyBorder="1" applyAlignment="1"/>
    <xf numFmtId="0" fontId="30" fillId="19" borderId="83" xfId="0" applyFont="1" applyFill="1" applyBorder="1" applyAlignment="1">
      <alignment horizontal="center" vertical="center"/>
    </xf>
    <xf numFmtId="0" fontId="26" fillId="19" borderId="70" xfId="0" applyFont="1" applyFill="1" applyBorder="1">
      <alignment vertical="center"/>
    </xf>
    <xf numFmtId="0" fontId="0" fillId="19" borderId="49" xfId="0" applyFill="1" applyBorder="1" applyAlignment="1">
      <alignment horizontal="center" vertical="center"/>
    </xf>
    <xf numFmtId="0" fontId="17" fillId="0" borderId="0" xfId="2" applyFont="1" applyAlignment="1">
      <alignment vertical="center"/>
    </xf>
    <xf numFmtId="0" fontId="44" fillId="0" borderId="0" xfId="0" applyFont="1" applyAlignment="1">
      <alignment horizontal="center" vertical="center"/>
    </xf>
    <xf numFmtId="0" fontId="25" fillId="17" borderId="193" xfId="0" applyFont="1" applyFill="1" applyBorder="1" applyAlignment="1">
      <alignment horizontal="center" vertical="center" shrinkToFit="1"/>
    </xf>
    <xf numFmtId="0" fontId="25" fillId="17" borderId="222" xfId="0" applyFont="1" applyFill="1" applyBorder="1" applyAlignment="1">
      <alignment horizontal="center" vertical="center" shrinkToFit="1"/>
    </xf>
    <xf numFmtId="0" fontId="25" fillId="17" borderId="223" xfId="0" applyFont="1" applyFill="1" applyBorder="1" applyAlignment="1">
      <alignment horizontal="center" vertical="center" shrinkToFit="1"/>
    </xf>
    <xf numFmtId="0" fontId="25" fillId="17" borderId="224" xfId="0" applyFont="1" applyFill="1" applyBorder="1" applyAlignment="1">
      <alignment horizontal="center" vertical="center" shrinkToFit="1"/>
    </xf>
    <xf numFmtId="177" fontId="25" fillId="17" borderId="225" xfId="3" applyNumberFormat="1" applyFont="1" applyFill="1" applyBorder="1" applyAlignment="1">
      <alignment horizontal="center" vertical="center"/>
    </xf>
    <xf numFmtId="177" fontId="25" fillId="17" borderId="226" xfId="3" applyNumberFormat="1" applyFont="1" applyFill="1" applyBorder="1" applyAlignment="1">
      <alignment horizontal="center" vertical="center"/>
    </xf>
    <xf numFmtId="0" fontId="0" fillId="13" borderId="32" xfId="0" applyFill="1" applyBorder="1" applyAlignment="1">
      <alignment horizontal="center" vertical="center" shrinkToFit="1"/>
    </xf>
    <xf numFmtId="0" fontId="25" fillId="17" borderId="58" xfId="0" applyFont="1" applyFill="1" applyBorder="1" applyAlignment="1">
      <alignment horizontal="center" vertical="center" shrinkToFit="1"/>
    </xf>
    <xf numFmtId="0" fontId="25" fillId="17" borderId="59" xfId="0" applyFont="1" applyFill="1" applyBorder="1" applyAlignment="1">
      <alignment horizontal="center" vertical="center" shrinkToFit="1"/>
    </xf>
    <xf numFmtId="177" fontId="25" fillId="17" borderId="59" xfId="3" applyNumberFormat="1" applyFont="1" applyFill="1" applyBorder="1" applyAlignment="1">
      <alignment horizontal="center" vertical="center"/>
    </xf>
    <xf numFmtId="177" fontId="25" fillId="17" borderId="61" xfId="3" applyNumberFormat="1" applyFont="1" applyFill="1" applyBorder="1" applyAlignment="1">
      <alignment horizontal="center" vertical="center"/>
    </xf>
    <xf numFmtId="0" fontId="52" fillId="17" borderId="200" xfId="3" applyFont="1" applyFill="1" applyBorder="1" applyAlignment="1">
      <alignment horizontal="center" vertical="center" wrapText="1"/>
    </xf>
    <xf numFmtId="179" fontId="0" fillId="0" borderId="118" xfId="0" applyNumberFormat="1" applyBorder="1">
      <alignment vertical="center"/>
    </xf>
    <xf numFmtId="179" fontId="0" fillId="0" borderId="87" xfId="0" applyNumberFormat="1" applyBorder="1">
      <alignment vertical="center"/>
    </xf>
    <xf numFmtId="179" fontId="0" fillId="0" borderId="33" xfId="0" applyNumberFormat="1" applyBorder="1">
      <alignment vertical="center"/>
    </xf>
    <xf numFmtId="179" fontId="0" fillId="0" borderId="60" xfId="0" applyNumberFormat="1" applyBorder="1">
      <alignment vertical="center"/>
    </xf>
    <xf numFmtId="179" fontId="28" fillId="0" borderId="16" xfId="0" applyNumberFormat="1" applyFont="1" applyBorder="1" applyAlignment="1" applyProtection="1">
      <alignment horizontal="center" vertical="center"/>
      <protection locked="0"/>
    </xf>
    <xf numFmtId="179" fontId="0" fillId="0" borderId="16" xfId="0" applyNumberFormat="1" applyBorder="1" applyAlignment="1" applyProtection="1">
      <alignment horizontal="center" vertical="center"/>
      <protection locked="0"/>
    </xf>
    <xf numFmtId="179" fontId="0" fillId="0" borderId="65" xfId="0" applyNumberFormat="1" applyBorder="1" applyAlignment="1" applyProtection="1">
      <alignment horizontal="center" vertical="center"/>
      <protection locked="0"/>
    </xf>
    <xf numFmtId="0" fontId="0" fillId="0" borderId="20" xfId="0" applyBorder="1" applyAlignment="1">
      <alignment horizontal="center" vertical="center"/>
    </xf>
    <xf numFmtId="0" fontId="27" fillId="17" borderId="38" xfId="3" applyFont="1" applyFill="1" applyBorder="1" applyAlignment="1">
      <alignment vertical="center" wrapText="1"/>
    </xf>
    <xf numFmtId="177" fontId="25" fillId="17" borderId="63" xfId="3" applyNumberFormat="1" applyFont="1" applyFill="1" applyBorder="1" applyAlignment="1">
      <alignment horizontal="center" vertical="center"/>
    </xf>
    <xf numFmtId="0" fontId="52" fillId="17" borderId="21" xfId="3" applyFont="1" applyFill="1" applyBorder="1" applyAlignment="1">
      <alignment horizontal="center" vertical="center" shrinkToFit="1"/>
    </xf>
    <xf numFmtId="49" fontId="26" fillId="17" borderId="227" xfId="3" applyNumberFormat="1" applyFont="1" applyFill="1" applyBorder="1" applyAlignment="1">
      <alignment horizontal="center" vertical="center" wrapText="1"/>
    </xf>
    <xf numFmtId="49" fontId="0" fillId="17" borderId="0" xfId="0" applyNumberFormat="1" applyFill="1" applyAlignment="1">
      <alignment horizontal="center" vertical="center" shrinkToFit="1"/>
    </xf>
    <xf numFmtId="49" fontId="22" fillId="17" borderId="18" xfId="3" applyNumberFormat="1" applyFill="1" applyBorder="1" applyAlignment="1">
      <alignment horizontal="center" vertical="center"/>
    </xf>
    <xf numFmtId="49" fontId="22" fillId="17" borderId="21" xfId="3" applyNumberFormat="1" applyFill="1" applyBorder="1" applyAlignment="1">
      <alignment horizontal="center" vertical="center"/>
    </xf>
    <xf numFmtId="177" fontId="25" fillId="17" borderId="100" xfId="3" applyNumberFormat="1" applyFont="1" applyFill="1" applyBorder="1" applyAlignment="1">
      <alignment horizontal="center" vertical="center"/>
    </xf>
    <xf numFmtId="49" fontId="22" fillId="13" borderId="18" xfId="3" applyNumberFormat="1" applyFill="1" applyBorder="1" applyAlignment="1" applyProtection="1">
      <alignment horizontal="center" vertical="center"/>
      <protection locked="0"/>
    </xf>
    <xf numFmtId="49" fontId="0" fillId="13" borderId="18" xfId="3" applyNumberFormat="1" applyFont="1" applyFill="1" applyBorder="1" applyAlignment="1" applyProtection="1">
      <alignment horizontal="center" vertical="center"/>
      <protection locked="0"/>
    </xf>
    <xf numFmtId="49" fontId="22" fillId="13" borderId="86" xfId="3" applyNumberFormat="1" applyFill="1" applyBorder="1" applyAlignment="1" applyProtection="1">
      <alignment horizontal="center" vertical="center"/>
      <protection locked="0"/>
    </xf>
    <xf numFmtId="49" fontId="22" fillId="13" borderId="97" xfId="3" applyNumberFormat="1" applyFill="1" applyBorder="1" applyAlignment="1" applyProtection="1">
      <alignment horizontal="center" vertical="center"/>
      <protection locked="0"/>
    </xf>
    <xf numFmtId="0" fontId="40" fillId="17" borderId="25" xfId="3" applyFont="1" applyFill="1" applyBorder="1" applyAlignment="1">
      <alignment horizontal="center" vertical="center" shrinkToFit="1"/>
    </xf>
    <xf numFmtId="0" fontId="27" fillId="0" borderId="93" xfId="0" applyFont="1" applyBorder="1" applyAlignment="1">
      <alignment vertical="center" wrapText="1"/>
    </xf>
    <xf numFmtId="0" fontId="27" fillId="0" borderId="29" xfId="0" applyFont="1" applyBorder="1" applyAlignment="1">
      <alignment vertical="center" wrapText="1"/>
    </xf>
    <xf numFmtId="0" fontId="27" fillId="0" borderId="0" xfId="0" applyFont="1" applyAlignment="1">
      <alignment vertical="center" wrapText="1"/>
    </xf>
    <xf numFmtId="0" fontId="27" fillId="0" borderId="1" xfId="0" applyFont="1" applyBorder="1" applyAlignment="1">
      <alignment vertical="center" wrapText="1"/>
    </xf>
    <xf numFmtId="0" fontId="2" fillId="0" borderId="0" xfId="2" applyAlignment="1">
      <alignment vertical="center" wrapText="1"/>
    </xf>
    <xf numFmtId="0" fontId="10" fillId="2" borderId="79" xfId="2" applyFont="1" applyFill="1" applyBorder="1" applyAlignment="1">
      <alignment horizontal="center" vertical="center" shrinkToFit="1"/>
    </xf>
    <xf numFmtId="0" fontId="10" fillId="2" borderId="52" xfId="2" applyFont="1" applyFill="1" applyBorder="1" applyAlignment="1">
      <alignment horizontal="center" vertical="center" shrinkToFit="1"/>
    </xf>
    <xf numFmtId="0" fontId="53" fillId="0" borderId="0" xfId="2" applyFont="1" applyAlignment="1">
      <alignment horizontal="center" wrapText="1"/>
    </xf>
    <xf numFmtId="0" fontId="52" fillId="20" borderId="210" xfId="0" applyFont="1" applyFill="1" applyBorder="1" applyAlignment="1">
      <alignment vertical="center" wrapText="1"/>
    </xf>
    <xf numFmtId="0" fontId="52" fillId="20" borderId="209" xfId="0" applyFont="1" applyFill="1" applyBorder="1" applyAlignment="1">
      <alignment horizontal="center" vertical="center" wrapText="1"/>
    </xf>
    <xf numFmtId="0" fontId="52" fillId="20" borderId="202" xfId="0" applyFont="1" applyFill="1" applyBorder="1" applyAlignment="1">
      <alignment horizontal="center" vertical="center" wrapText="1"/>
    </xf>
    <xf numFmtId="0" fontId="0" fillId="20" borderId="173" xfId="0" applyFill="1" applyBorder="1">
      <alignment vertical="center"/>
    </xf>
    <xf numFmtId="38" fontId="0" fillId="20" borderId="176" xfId="1" applyFont="1" applyFill="1" applyBorder="1">
      <alignment vertical="center"/>
    </xf>
    <xf numFmtId="38" fontId="0" fillId="20" borderId="204" xfId="1" applyFont="1" applyFill="1" applyBorder="1">
      <alignment vertical="center"/>
    </xf>
    <xf numFmtId="0" fontId="54" fillId="20" borderId="202" xfId="0" applyFont="1" applyFill="1" applyBorder="1" applyAlignment="1">
      <alignment horizontal="center" vertical="center" wrapText="1"/>
    </xf>
    <xf numFmtId="0" fontId="54" fillId="20" borderId="202" xfId="0" applyFont="1" applyFill="1" applyBorder="1" applyAlignment="1">
      <alignment horizontal="center" vertical="center"/>
    </xf>
    <xf numFmtId="0" fontId="0" fillId="20" borderId="204" xfId="0" applyFill="1" applyBorder="1">
      <alignment vertical="center"/>
    </xf>
    <xf numFmtId="0" fontId="54" fillId="20" borderId="203" xfId="0" applyFont="1" applyFill="1" applyBorder="1" applyAlignment="1">
      <alignment horizontal="center" vertical="center" wrapText="1"/>
    </xf>
    <xf numFmtId="0" fontId="0" fillId="20" borderId="177" xfId="0" applyFill="1" applyBorder="1">
      <alignment vertical="center"/>
    </xf>
    <xf numFmtId="49" fontId="0" fillId="20" borderId="17" xfId="0" applyNumberFormat="1" applyFill="1" applyBorder="1">
      <alignment vertical="center"/>
    </xf>
    <xf numFmtId="49" fontId="0" fillId="20" borderId="117" xfId="0" applyNumberFormat="1" applyFill="1" applyBorder="1">
      <alignment vertical="center"/>
    </xf>
    <xf numFmtId="0" fontId="66" fillId="0" borderId="0" xfId="2" applyFont="1"/>
    <xf numFmtId="0" fontId="66" fillId="0" borderId="0" xfId="2" applyFont="1" applyAlignment="1">
      <alignment vertical="center"/>
    </xf>
    <xf numFmtId="0" fontId="69" fillId="4" borderId="3" xfId="5" applyFill="1" applyBorder="1" applyAlignment="1" applyProtection="1">
      <alignment horizontal="left" vertical="center"/>
      <protection locked="0"/>
    </xf>
    <xf numFmtId="0" fontId="8" fillId="4" borderId="3" xfId="2" applyFont="1" applyFill="1" applyBorder="1" applyAlignment="1" applyProtection="1">
      <alignment horizontal="left" vertical="center"/>
      <protection locked="0"/>
    </xf>
    <xf numFmtId="0" fontId="8" fillId="4" borderId="86" xfId="2" applyFont="1" applyFill="1" applyBorder="1" applyAlignment="1" applyProtection="1">
      <alignment horizontal="left" vertical="center"/>
      <protection locked="0"/>
    </xf>
    <xf numFmtId="0" fontId="8" fillId="4" borderId="45" xfId="2" applyFont="1" applyFill="1" applyBorder="1" applyAlignment="1" applyProtection="1">
      <alignment horizontal="center" vertical="center"/>
      <protection locked="0"/>
    </xf>
    <xf numFmtId="0" fontId="8" fillId="4" borderId="36" xfId="2" applyFont="1" applyFill="1" applyBorder="1" applyAlignment="1" applyProtection="1">
      <alignment horizontal="center" vertical="center"/>
      <protection locked="0"/>
    </xf>
    <xf numFmtId="0" fontId="41" fillId="0" borderId="49" xfId="4" applyFont="1" applyBorder="1" applyAlignment="1">
      <alignment horizontal="right" vertical="center"/>
    </xf>
    <xf numFmtId="0" fontId="41" fillId="0" borderId="39" xfId="4" applyFont="1" applyBorder="1" applyAlignment="1">
      <alignment horizontal="right" vertical="center"/>
    </xf>
    <xf numFmtId="0" fontId="0" fillId="12" borderId="45" xfId="0" applyFill="1" applyBorder="1" applyAlignment="1" applyProtection="1">
      <alignment horizontal="left" vertical="center" shrinkToFit="1"/>
      <protection locked="0"/>
    </xf>
    <xf numFmtId="0" fontId="0" fillId="12" borderId="47" xfId="0" applyFill="1" applyBorder="1" applyAlignment="1" applyProtection="1">
      <alignment horizontal="left" vertical="center" shrinkToFit="1"/>
      <protection locked="0"/>
    </xf>
    <xf numFmtId="0" fontId="0" fillId="12" borderId="90" xfId="0" applyFill="1" applyBorder="1" applyAlignment="1" applyProtection="1">
      <alignment horizontal="left" vertical="center" shrinkToFit="1"/>
      <protection locked="0"/>
    </xf>
    <xf numFmtId="0" fontId="0" fillId="12" borderId="3" xfId="0" applyFill="1" applyBorder="1" applyAlignment="1" applyProtection="1">
      <alignment horizontal="center" vertical="center" shrinkToFit="1"/>
      <protection locked="0"/>
    </xf>
    <xf numFmtId="0" fontId="0" fillId="12" borderId="45" xfId="0" applyFill="1" applyBorder="1" applyAlignment="1" applyProtection="1">
      <alignment horizontal="center" vertical="center" shrinkToFit="1"/>
      <protection locked="0"/>
    </xf>
    <xf numFmtId="0" fontId="0" fillId="12" borderId="36" xfId="0" applyFill="1" applyBorder="1" applyAlignment="1" applyProtection="1">
      <alignment horizontal="center" vertical="center" shrinkToFit="1"/>
      <protection locked="0"/>
    </xf>
    <xf numFmtId="0" fontId="0" fillId="12" borderId="44" xfId="0" applyFill="1" applyBorder="1" applyAlignment="1" applyProtection="1">
      <alignment horizontal="left" vertical="center" shrinkToFit="1"/>
      <protection locked="0"/>
    </xf>
    <xf numFmtId="0" fontId="0" fillId="12" borderId="73" xfId="0" applyFill="1" applyBorder="1" applyAlignment="1" applyProtection="1">
      <alignment horizontal="left" vertical="center" shrinkToFit="1"/>
      <protection locked="0"/>
    </xf>
    <xf numFmtId="0" fontId="0" fillId="12" borderId="63" xfId="0" applyFill="1" applyBorder="1" applyAlignment="1" applyProtection="1">
      <alignment horizontal="left" vertical="center" shrinkToFit="1"/>
      <protection locked="0"/>
    </xf>
    <xf numFmtId="0" fontId="0" fillId="12" borderId="59" xfId="0" applyFill="1" applyBorder="1" applyAlignment="1" applyProtection="1">
      <alignment horizontal="center" vertical="center" shrinkToFit="1"/>
      <protection locked="0"/>
    </xf>
    <xf numFmtId="0" fontId="0" fillId="12" borderId="44" xfId="0" applyFill="1" applyBorder="1" applyAlignment="1" applyProtection="1">
      <alignment horizontal="center" vertical="center" shrinkToFit="1"/>
      <protection locked="0"/>
    </xf>
    <xf numFmtId="0" fontId="0" fillId="12" borderId="60" xfId="0" applyFill="1" applyBorder="1" applyAlignment="1" applyProtection="1">
      <alignment horizontal="center" vertical="center" shrinkToFit="1"/>
      <protection locked="0"/>
    </xf>
    <xf numFmtId="0" fontId="51" fillId="0" borderId="93" xfId="4" applyFont="1" applyBorder="1" applyAlignment="1">
      <alignment horizontal="left" wrapText="1" indent="1"/>
    </xf>
    <xf numFmtId="0" fontId="51" fillId="0" borderId="77" xfId="4" applyFont="1" applyBorder="1" applyAlignment="1">
      <alignment horizontal="left" wrapText="1" indent="1"/>
    </xf>
    <xf numFmtId="0" fontId="51" fillId="0" borderId="67" xfId="4" applyFont="1" applyBorder="1" applyAlignment="1">
      <alignment horizontal="left" wrapText="1" indent="1"/>
    </xf>
    <xf numFmtId="0" fontId="45" fillId="0" borderId="88" xfId="3" applyFont="1" applyBorder="1" applyAlignment="1">
      <alignment horizontal="left" vertical="center" wrapText="1" indent="1"/>
    </xf>
    <xf numFmtId="0" fontId="45" fillId="0" borderId="46" xfId="3" applyFont="1" applyBorder="1" applyAlignment="1">
      <alignment horizontal="left" vertical="center" wrapText="1" indent="1"/>
    </xf>
    <xf numFmtId="0" fontId="45" fillId="0" borderId="38" xfId="3" applyFont="1" applyBorder="1" applyAlignment="1">
      <alignment horizontal="left" vertical="center" wrapText="1" indent="1"/>
    </xf>
    <xf numFmtId="0" fontId="31" fillId="0" borderId="25" xfId="3" applyFont="1" applyBorder="1" applyAlignment="1">
      <alignment horizontal="center" vertical="center"/>
    </xf>
    <xf numFmtId="0" fontId="31" fillId="0" borderId="26" xfId="3" applyFont="1" applyBorder="1" applyAlignment="1">
      <alignment horizontal="center" vertical="center"/>
    </xf>
    <xf numFmtId="0" fontId="31" fillId="0" borderId="84" xfId="3" applyFont="1" applyBorder="1" applyAlignment="1">
      <alignment horizontal="center" vertical="center"/>
    </xf>
    <xf numFmtId="0" fontId="31" fillId="0" borderId="51" xfId="3" applyFont="1" applyBorder="1" applyAlignment="1">
      <alignment horizontal="center" vertical="center"/>
    </xf>
    <xf numFmtId="0" fontId="0" fillId="16" borderId="16" xfId="0" applyFill="1" applyBorder="1" applyAlignment="1">
      <alignment horizontal="center" vertical="center" shrinkToFit="1"/>
    </xf>
    <xf numFmtId="0" fontId="0" fillId="16" borderId="5" xfId="0" applyFill="1" applyBorder="1" applyAlignment="1">
      <alignment horizontal="center" vertical="center" shrinkToFit="1"/>
    </xf>
    <xf numFmtId="0" fontId="0" fillId="16" borderId="32" xfId="0" applyFill="1" applyBorder="1" applyAlignment="1">
      <alignment horizontal="center" vertical="center" shrinkToFit="1"/>
    </xf>
    <xf numFmtId="0" fontId="31" fillId="0" borderId="26" xfId="3" applyFont="1" applyBorder="1" applyAlignment="1">
      <alignment horizontal="center" vertical="center" wrapText="1"/>
    </xf>
    <xf numFmtId="0" fontId="31" fillId="0" borderId="84" xfId="3" applyFont="1" applyBorder="1" applyAlignment="1">
      <alignment horizontal="center" vertical="center" wrapText="1"/>
    </xf>
    <xf numFmtId="0" fontId="31" fillId="0" borderId="124" xfId="3" applyFont="1" applyBorder="1" applyAlignment="1">
      <alignment horizontal="center" vertical="center" wrapText="1"/>
    </xf>
    <xf numFmtId="0" fontId="0" fillId="16" borderId="50" xfId="0" applyFill="1" applyBorder="1" applyAlignment="1">
      <alignment horizontal="left" vertical="center" shrinkToFit="1"/>
    </xf>
    <xf numFmtId="0" fontId="0" fillId="16" borderId="74" xfId="0" applyFill="1" applyBorder="1" applyAlignment="1">
      <alignment horizontal="left" vertical="center" shrinkToFit="1"/>
    </xf>
    <xf numFmtId="0" fontId="0" fillId="16" borderId="186" xfId="0" applyFill="1" applyBorder="1" applyAlignment="1">
      <alignment horizontal="left" vertical="center" shrinkToFit="1"/>
    </xf>
    <xf numFmtId="0" fontId="0" fillId="12" borderId="16" xfId="0" applyFill="1" applyBorder="1" applyAlignment="1" applyProtection="1">
      <alignment horizontal="center" vertical="center" shrinkToFit="1"/>
      <protection locked="0"/>
    </xf>
    <xf numFmtId="0" fontId="0" fillId="12" borderId="5" xfId="0" applyFill="1" applyBorder="1" applyAlignment="1" applyProtection="1">
      <alignment horizontal="center" vertical="center" shrinkToFit="1"/>
      <protection locked="0"/>
    </xf>
    <xf numFmtId="0" fontId="0" fillId="12" borderId="32" xfId="0" applyFill="1" applyBorder="1" applyAlignment="1" applyProtection="1">
      <alignment horizontal="center" vertical="center" shrinkToFit="1"/>
      <protection locked="0"/>
    </xf>
    <xf numFmtId="0" fontId="49" fillId="0" borderId="19" xfId="4" applyFont="1" applyBorder="1" applyAlignment="1">
      <alignment horizontal="center" vertical="center" wrapText="1"/>
    </xf>
    <xf numFmtId="0" fontId="49" fillId="0" borderId="34" xfId="4" applyFont="1" applyBorder="1" applyAlignment="1">
      <alignment horizontal="center" vertical="center" wrapText="1"/>
    </xf>
    <xf numFmtId="0" fontId="49" fillId="0" borderId="64" xfId="4" applyFont="1" applyBorder="1" applyAlignment="1">
      <alignment horizontal="center" vertical="center" wrapText="1"/>
    </xf>
    <xf numFmtId="0" fontId="32" fillId="4" borderId="44" xfId="4" applyFont="1" applyFill="1" applyBorder="1" applyAlignment="1" applyProtection="1">
      <alignment horizontal="left" vertical="center" shrinkToFit="1"/>
      <protection locked="0"/>
    </xf>
    <xf numFmtId="0" fontId="32" fillId="4" borderId="73" xfId="4" applyFont="1" applyFill="1" applyBorder="1" applyAlignment="1" applyProtection="1">
      <alignment horizontal="left" vertical="center" shrinkToFit="1"/>
      <protection locked="0"/>
    </xf>
    <xf numFmtId="0" fontId="32" fillId="4" borderId="63" xfId="4" applyFont="1" applyFill="1" applyBorder="1" applyAlignment="1" applyProtection="1">
      <alignment horizontal="left" vertical="center" shrinkToFit="1"/>
      <protection locked="0"/>
    </xf>
    <xf numFmtId="0" fontId="31" fillId="0" borderId="3" xfId="4" applyFont="1" applyBorder="1" applyAlignment="1">
      <alignment horizontal="center" vertical="center"/>
    </xf>
    <xf numFmtId="0" fontId="8" fillId="4" borderId="47" xfId="2" applyFont="1" applyFill="1" applyBorder="1" applyAlignment="1" applyProtection="1">
      <alignment horizontal="center" vertical="center"/>
      <protection locked="0"/>
    </xf>
    <xf numFmtId="0" fontId="8" fillId="4" borderId="20" xfId="2" applyFont="1" applyFill="1" applyBorder="1" applyAlignment="1" applyProtection="1">
      <alignment horizontal="left" vertical="center"/>
      <protection locked="0"/>
    </xf>
    <xf numFmtId="0" fontId="31" fillId="0" borderId="59" xfId="4" applyFont="1" applyBorder="1" applyAlignment="1">
      <alignment horizontal="center" vertical="center"/>
    </xf>
    <xf numFmtId="0" fontId="29" fillId="0" borderId="0" xfId="4" applyFont="1" applyAlignment="1">
      <alignment horizontal="center" vertical="center"/>
    </xf>
    <xf numFmtId="0" fontId="8" fillId="4" borderId="48" xfId="2" applyFont="1" applyFill="1" applyBorder="1" applyAlignment="1" applyProtection="1">
      <alignment horizontal="center" vertical="center"/>
      <protection locked="0"/>
    </xf>
    <xf numFmtId="0" fontId="8" fillId="4" borderId="57" xfId="2" applyFont="1" applyFill="1" applyBorder="1" applyAlignment="1" applyProtection="1">
      <alignment horizontal="center" vertical="center"/>
      <protection locked="0"/>
    </xf>
    <xf numFmtId="0" fontId="8" fillId="4" borderId="69" xfId="2" applyFont="1" applyFill="1" applyBorder="1" applyAlignment="1" applyProtection="1">
      <alignment horizontal="center" vertical="center"/>
      <protection locked="0"/>
    </xf>
    <xf numFmtId="0" fontId="32" fillId="4" borderId="48" xfId="4" applyFont="1" applyFill="1" applyBorder="1" applyAlignment="1" applyProtection="1">
      <alignment horizontal="center" vertical="center"/>
      <protection locked="0"/>
    </xf>
    <xf numFmtId="0" fontId="32" fillId="4" borderId="57" xfId="4" applyFont="1" applyFill="1" applyBorder="1" applyAlignment="1" applyProtection="1">
      <alignment horizontal="center" vertical="center"/>
      <protection locked="0"/>
    </xf>
    <xf numFmtId="0" fontId="32" fillId="4" borderId="69" xfId="4" applyFont="1" applyFill="1" applyBorder="1" applyAlignment="1" applyProtection="1">
      <alignment horizontal="center" vertical="center"/>
      <protection locked="0"/>
    </xf>
    <xf numFmtId="0" fontId="8" fillId="4" borderId="45" xfId="2" applyFont="1" applyFill="1" applyBorder="1" applyAlignment="1" applyProtection="1">
      <alignment horizontal="left" vertical="center" wrapText="1"/>
      <protection locked="0"/>
    </xf>
    <xf numFmtId="0" fontId="8" fillId="4" borderId="47" xfId="2" applyFont="1" applyFill="1" applyBorder="1" applyAlignment="1" applyProtection="1">
      <alignment horizontal="left" vertical="center"/>
      <protection locked="0"/>
    </xf>
    <xf numFmtId="0" fontId="8" fillId="4" borderId="36" xfId="2" applyFont="1" applyFill="1" applyBorder="1" applyAlignment="1" applyProtection="1">
      <alignment horizontal="left" vertical="center"/>
      <protection locked="0"/>
    </xf>
    <xf numFmtId="0" fontId="32" fillId="4" borderId="3" xfId="4" applyFont="1" applyFill="1" applyBorder="1" applyAlignment="1" applyProtection="1">
      <alignment horizontal="center" vertical="center"/>
      <protection locked="0"/>
    </xf>
    <xf numFmtId="0" fontId="32" fillId="4" borderId="86" xfId="4" applyFont="1" applyFill="1" applyBorder="1" applyAlignment="1" applyProtection="1">
      <alignment horizontal="center" vertical="center"/>
      <protection locked="0"/>
    </xf>
    <xf numFmtId="0" fontId="31" fillId="0" borderId="5" xfId="4" applyFont="1" applyBorder="1" applyAlignment="1">
      <alignment horizontal="center" vertical="center" wrapText="1"/>
    </xf>
    <xf numFmtId="0" fontId="31" fillId="0" borderId="32" xfId="4" applyFont="1" applyBorder="1" applyAlignment="1">
      <alignment horizontal="center" vertical="center"/>
    </xf>
    <xf numFmtId="0" fontId="32" fillId="4" borderId="45" xfId="4" applyFont="1" applyFill="1" applyBorder="1" applyAlignment="1" applyProtection="1">
      <alignment horizontal="left" vertical="center"/>
      <protection locked="0"/>
    </xf>
    <xf numFmtId="0" fontId="32" fillId="4" borderId="47" xfId="4" applyFont="1" applyFill="1" applyBorder="1" applyAlignment="1" applyProtection="1">
      <alignment horizontal="left" vertical="center"/>
      <protection locked="0"/>
    </xf>
    <xf numFmtId="0" fontId="32" fillId="4" borderId="90" xfId="4" applyFont="1" applyFill="1" applyBorder="1" applyAlignment="1" applyProtection="1">
      <alignment horizontal="left" vertical="center"/>
      <protection locked="0"/>
    </xf>
    <xf numFmtId="0" fontId="55" fillId="10" borderId="1" xfId="2" applyFont="1" applyFill="1" applyBorder="1" applyAlignment="1" applyProtection="1">
      <alignment horizontal="center" vertical="center"/>
      <protection locked="0"/>
    </xf>
    <xf numFmtId="0" fontId="32" fillId="4" borderId="3" xfId="4" applyFont="1" applyFill="1" applyBorder="1" applyAlignment="1" applyProtection="1">
      <alignment horizontal="left" vertical="center" shrinkToFit="1"/>
      <protection locked="0"/>
    </xf>
    <xf numFmtId="0" fontId="32" fillId="4" borderId="86" xfId="4" applyFont="1" applyFill="1" applyBorder="1" applyAlignment="1" applyProtection="1">
      <alignment horizontal="left" vertical="center" shrinkToFit="1"/>
      <protection locked="0"/>
    </xf>
    <xf numFmtId="0" fontId="8" fillId="4" borderId="45" xfId="2" applyFont="1" applyFill="1" applyBorder="1" applyAlignment="1" applyProtection="1">
      <alignment horizontal="left" vertical="center"/>
      <protection locked="0"/>
    </xf>
    <xf numFmtId="0" fontId="27" fillId="17" borderId="93" xfId="3" applyFont="1" applyFill="1" applyBorder="1" applyAlignment="1">
      <alignment horizontal="center" vertical="center" wrapText="1"/>
    </xf>
    <xf numFmtId="0" fontId="27" fillId="17" borderId="77" xfId="3" applyFont="1" applyFill="1" applyBorder="1" applyAlignment="1">
      <alignment horizontal="center" vertical="center" wrapText="1"/>
    </xf>
    <xf numFmtId="0" fontId="27" fillId="17" borderId="67" xfId="3" applyFont="1" applyFill="1" applyBorder="1" applyAlignment="1">
      <alignment horizontal="center" vertical="center" wrapText="1"/>
    </xf>
    <xf numFmtId="0" fontId="27" fillId="17" borderId="88" xfId="3" applyFont="1" applyFill="1" applyBorder="1" applyAlignment="1">
      <alignment horizontal="center" vertical="center" wrapText="1"/>
    </xf>
    <xf numFmtId="0" fontId="27" fillId="17" borderId="46" xfId="3" applyFont="1" applyFill="1" applyBorder="1" applyAlignment="1">
      <alignment horizontal="center" vertical="center" wrapText="1"/>
    </xf>
    <xf numFmtId="0" fontId="27" fillId="17" borderId="38" xfId="3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6" borderId="31" xfId="0" applyFill="1" applyBorder="1" applyAlignment="1">
      <alignment horizontal="center" vertical="center"/>
    </xf>
    <xf numFmtId="0" fontId="0" fillId="6" borderId="29" xfId="0" applyFill="1" applyBorder="1" applyAlignment="1">
      <alignment horizontal="center" vertical="center"/>
    </xf>
    <xf numFmtId="0" fontId="26" fillId="6" borderId="92" xfId="0" applyFont="1" applyFill="1" applyBorder="1" applyAlignment="1">
      <alignment horizontal="center" vertical="center"/>
    </xf>
    <xf numFmtId="0" fontId="26" fillId="6" borderId="70" xfId="0" applyFont="1" applyFill="1" applyBorder="1" applyAlignment="1">
      <alignment horizontal="center" vertical="center"/>
    </xf>
    <xf numFmtId="0" fontId="0" fillId="6" borderId="200" xfId="0" applyFill="1" applyBorder="1" applyAlignment="1">
      <alignment horizontal="center" vertical="center"/>
    </xf>
    <xf numFmtId="0" fontId="0" fillId="6" borderId="88" xfId="0" applyFill="1" applyBorder="1" applyAlignment="1">
      <alignment horizontal="center" vertical="center"/>
    </xf>
    <xf numFmtId="0" fontId="26" fillId="6" borderId="39" xfId="0" applyFont="1" applyFill="1" applyBorder="1" applyAlignment="1">
      <alignment horizontal="center" vertical="center"/>
    </xf>
    <xf numFmtId="0" fontId="26" fillId="6" borderId="3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42" fillId="0" borderId="1" xfId="0" applyNumberFormat="1" applyFont="1" applyBorder="1" applyAlignment="1">
      <alignment horizontal="center" vertical="center" shrinkToFit="1"/>
    </xf>
    <xf numFmtId="0" fontId="0" fillId="0" borderId="17" xfId="3" applyFont="1" applyBorder="1" applyAlignment="1">
      <alignment horizontal="center" vertical="center"/>
    </xf>
    <xf numFmtId="0" fontId="22" fillId="0" borderId="0" xfId="3" applyAlignment="1">
      <alignment horizontal="center" vertical="center"/>
    </xf>
    <xf numFmtId="38" fontId="22" fillId="0" borderId="0" xfId="1" applyAlignment="1">
      <alignment horizontal="center" vertical="center"/>
    </xf>
    <xf numFmtId="0" fontId="22" fillId="6" borderId="200" xfId="3" applyFill="1" applyBorder="1" applyAlignment="1">
      <alignment horizontal="center" vertical="center"/>
    </xf>
    <xf numFmtId="0" fontId="22" fillId="6" borderId="29" xfId="3" applyFill="1" applyBorder="1" applyAlignment="1">
      <alignment horizontal="center" vertical="center"/>
    </xf>
    <xf numFmtId="0" fontId="22" fillId="6" borderId="88" xfId="3" applyFill="1" applyBorder="1" applyAlignment="1">
      <alignment horizontal="center" vertical="center"/>
    </xf>
    <xf numFmtId="0" fontId="26" fillId="6" borderId="39" xfId="3" applyFont="1" applyFill="1" applyBorder="1" applyAlignment="1">
      <alignment horizontal="center" vertical="center"/>
    </xf>
    <xf numFmtId="0" fontId="26" fillId="6" borderId="70" xfId="3" applyFont="1" applyFill="1" applyBorder="1" applyAlignment="1">
      <alignment horizontal="center" vertical="center"/>
    </xf>
    <xf numFmtId="0" fontId="26" fillId="6" borderId="38" xfId="3" applyFont="1" applyFill="1" applyBorder="1" applyAlignment="1">
      <alignment horizontal="center" vertical="center"/>
    </xf>
    <xf numFmtId="0" fontId="22" fillId="0" borderId="17" xfId="3" applyBorder="1" applyAlignment="1">
      <alignment horizontal="center" vertical="center"/>
    </xf>
    <xf numFmtId="0" fontId="22" fillId="0" borderId="49" xfId="3" applyBorder="1" applyAlignment="1">
      <alignment horizontal="center" vertical="center"/>
    </xf>
    <xf numFmtId="0" fontId="30" fillId="0" borderId="85" xfId="0" applyFont="1" applyBorder="1" applyAlignment="1">
      <alignment horizontal="center" vertical="center"/>
    </xf>
    <xf numFmtId="0" fontId="30" fillId="0" borderId="57" xfId="0" applyFont="1" applyBorder="1" applyAlignment="1">
      <alignment horizontal="center" vertical="center"/>
    </xf>
    <xf numFmtId="0" fontId="30" fillId="0" borderId="77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9" borderId="17" xfId="0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0" fontId="26" fillId="9" borderId="39" xfId="0" applyFont="1" applyFill="1" applyBorder="1" applyAlignment="1">
      <alignment horizontal="center" vertical="center"/>
    </xf>
    <xf numFmtId="0" fontId="26" fillId="9" borderId="38" xfId="0" applyFont="1" applyFill="1" applyBorder="1" applyAlignment="1">
      <alignment horizontal="center" vertical="center"/>
    </xf>
    <xf numFmtId="0" fontId="30" fillId="9" borderId="88" xfId="0" applyFont="1" applyFill="1" applyBorder="1" applyAlignment="1">
      <alignment horizontal="center" vertical="center"/>
    </xf>
    <xf numFmtId="0" fontId="30" fillId="9" borderId="38" xfId="0" applyFont="1" applyFill="1" applyBorder="1" applyAlignment="1">
      <alignment horizontal="center" vertical="center"/>
    </xf>
    <xf numFmtId="0" fontId="30" fillId="0" borderId="85" xfId="3" applyFont="1" applyBorder="1" applyAlignment="1">
      <alignment horizontal="center" vertical="center"/>
    </xf>
    <xf numFmtId="0" fontId="30" fillId="0" borderId="57" xfId="3" applyFont="1" applyBorder="1" applyAlignment="1">
      <alignment horizontal="center" vertical="center"/>
    </xf>
    <xf numFmtId="0" fontId="22" fillId="6" borderId="31" xfId="3" applyFill="1" applyBorder="1" applyAlignment="1">
      <alignment horizontal="center" vertical="center"/>
    </xf>
    <xf numFmtId="0" fontId="26" fillId="6" borderId="92" xfId="3" applyFont="1" applyFill="1" applyBorder="1" applyAlignment="1">
      <alignment horizontal="center" vertical="center"/>
    </xf>
    <xf numFmtId="0" fontId="0" fillId="8" borderId="17" xfId="0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0" fontId="0" fillId="9" borderId="91" xfId="0" applyFill="1" applyBorder="1" applyAlignment="1">
      <alignment horizontal="center" vertical="center"/>
    </xf>
    <xf numFmtId="0" fontId="26" fillId="9" borderId="92" xfId="0" applyFont="1" applyFill="1" applyBorder="1" applyAlignment="1">
      <alignment horizontal="center" vertical="center"/>
    </xf>
    <xf numFmtId="0" fontId="0" fillId="8" borderId="18" xfId="0" applyFill="1" applyBorder="1" applyAlignment="1">
      <alignment horizontal="center" vertical="center"/>
    </xf>
    <xf numFmtId="0" fontId="0" fillId="8" borderId="86" xfId="0" applyFill="1" applyBorder="1" applyAlignment="1">
      <alignment horizontal="center" vertical="center"/>
    </xf>
    <xf numFmtId="0" fontId="26" fillId="19" borderId="197" xfId="0" applyFont="1" applyFill="1" applyBorder="1" applyAlignment="1">
      <alignment horizontal="center" vertical="center"/>
    </xf>
    <xf numFmtId="0" fontId="26" fillId="19" borderId="36" xfId="0" applyFont="1" applyFill="1" applyBorder="1" applyAlignment="1">
      <alignment horizontal="center" vertical="center"/>
    </xf>
    <xf numFmtId="0" fontId="26" fillId="19" borderId="92" xfId="0" applyFont="1" applyFill="1" applyBorder="1" applyAlignment="1">
      <alignment horizontal="center" vertical="center"/>
    </xf>
    <xf numFmtId="0" fontId="26" fillId="19" borderId="70" xfId="0" applyFont="1" applyFill="1" applyBorder="1" applyAlignment="1">
      <alignment horizontal="center" vertical="center"/>
    </xf>
    <xf numFmtId="0" fontId="26" fillId="19" borderId="39" xfId="0" applyFont="1" applyFill="1" applyBorder="1" applyAlignment="1">
      <alignment horizontal="center" vertical="center"/>
    </xf>
    <xf numFmtId="0" fontId="27" fillId="15" borderId="93" xfId="0" applyFont="1" applyFill="1" applyBorder="1" applyAlignment="1">
      <alignment horizontal="center" vertical="center" wrapText="1" shrinkToFit="1"/>
    </xf>
    <xf numFmtId="0" fontId="27" fillId="15" borderId="77" xfId="0" applyFont="1" applyFill="1" applyBorder="1" applyAlignment="1">
      <alignment horizontal="center" vertical="center" wrapText="1" shrinkToFit="1"/>
    </xf>
    <xf numFmtId="0" fontId="27" fillId="15" borderId="88" xfId="0" applyFont="1" applyFill="1" applyBorder="1" applyAlignment="1">
      <alignment horizontal="center" vertical="center" wrapText="1" shrinkToFit="1"/>
    </xf>
    <xf numFmtId="0" fontId="27" fillId="15" borderId="46" xfId="0" applyFont="1" applyFill="1" applyBorder="1" applyAlignment="1">
      <alignment horizontal="center" vertical="center" wrapText="1" shrinkToFit="1"/>
    </xf>
    <xf numFmtId="0" fontId="25" fillId="0" borderId="93" xfId="0" applyFont="1" applyBorder="1" applyAlignment="1">
      <alignment horizontal="right" vertical="center" indent="1"/>
    </xf>
    <xf numFmtId="0" fontId="25" fillId="0" borderId="77" xfId="0" applyFont="1" applyBorder="1" applyAlignment="1">
      <alignment horizontal="right" vertical="center" indent="1"/>
    </xf>
    <xf numFmtId="0" fontId="25" fillId="0" borderId="67" xfId="0" applyFont="1" applyBorder="1" applyAlignment="1">
      <alignment horizontal="right" vertical="center" indent="1"/>
    </xf>
    <xf numFmtId="0" fontId="25" fillId="0" borderId="94" xfId="0" applyFont="1" applyBorder="1" applyAlignment="1">
      <alignment horizontal="right" vertical="center" indent="1"/>
    </xf>
    <xf numFmtId="0" fontId="25" fillId="0" borderId="1" xfId="0" applyFont="1" applyBorder="1" applyAlignment="1">
      <alignment horizontal="right" vertical="center" indent="1"/>
    </xf>
    <xf numFmtId="0" fontId="25" fillId="0" borderId="68" xfId="0" applyFont="1" applyBorder="1" applyAlignment="1">
      <alignment horizontal="right" vertical="center" indent="1"/>
    </xf>
    <xf numFmtId="0" fontId="0" fillId="6" borderId="78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86" xfId="0" applyFill="1" applyBorder="1" applyAlignment="1">
      <alignment horizontal="center" vertical="center"/>
    </xf>
    <xf numFmtId="38" fontId="0" fillId="0" borderId="0" xfId="0" applyNumberFormat="1" applyAlignment="1">
      <alignment horizontal="center" vertical="center"/>
    </xf>
    <xf numFmtId="0" fontId="0" fillId="9" borderId="62" xfId="0" applyFill="1" applyBorder="1" applyAlignment="1">
      <alignment horizontal="center" vertical="center"/>
    </xf>
    <xf numFmtId="38" fontId="26" fillId="4" borderId="98" xfId="1" applyFont="1" applyFill="1" applyBorder="1" applyAlignment="1">
      <alignment horizontal="center" vertical="center" wrapText="1"/>
    </xf>
    <xf numFmtId="38" fontId="26" fillId="4" borderId="42" xfId="1" applyFont="1" applyFill="1" applyBorder="1" applyAlignment="1">
      <alignment horizontal="center" vertical="center" wrapText="1"/>
    </xf>
    <xf numFmtId="38" fontId="26" fillId="4" borderId="99" xfId="1" applyFont="1" applyFill="1" applyBorder="1" applyAlignment="1">
      <alignment horizontal="center" vertical="center" wrapText="1"/>
    </xf>
    <xf numFmtId="0" fontId="30" fillId="15" borderId="45" xfId="0" applyFont="1" applyFill="1" applyBorder="1" applyAlignment="1">
      <alignment horizontal="center" vertical="center" shrinkToFit="1"/>
    </xf>
    <xf numFmtId="0" fontId="30" fillId="15" borderId="90" xfId="0" applyFont="1" applyFill="1" applyBorder="1" applyAlignment="1">
      <alignment horizontal="center" vertical="center" shrinkToFit="1"/>
    </xf>
    <xf numFmtId="49" fontId="12" fillId="6" borderId="84" xfId="0" applyNumberFormat="1" applyFont="1" applyFill="1" applyBorder="1" applyAlignment="1">
      <alignment horizontal="center" vertical="center"/>
    </xf>
    <xf numFmtId="49" fontId="12" fillId="6" borderId="124" xfId="0" applyNumberFormat="1" applyFont="1" applyFill="1" applyBorder="1" applyAlignment="1">
      <alignment horizontal="center" vertical="center"/>
    </xf>
    <xf numFmtId="0" fontId="37" fillId="8" borderId="47" xfId="0" applyFont="1" applyFill="1" applyBorder="1" applyAlignment="1">
      <alignment horizontal="center" vertical="center"/>
    </xf>
    <xf numFmtId="0" fontId="37" fillId="8" borderId="90" xfId="0" applyFont="1" applyFill="1" applyBorder="1" applyAlignment="1">
      <alignment horizontal="center" vertical="center"/>
    </xf>
    <xf numFmtId="49" fontId="0" fillId="15" borderId="100" xfId="0" applyNumberFormat="1" applyFill="1" applyBorder="1" applyAlignment="1">
      <alignment horizontal="center" vertical="center" shrinkToFit="1"/>
    </xf>
    <xf numFmtId="49" fontId="0" fillId="15" borderId="101" xfId="0" applyNumberFormat="1" applyFill="1" applyBorder="1" applyAlignment="1">
      <alignment horizontal="center" vertical="center" shrinkToFit="1"/>
    </xf>
    <xf numFmtId="0" fontId="12" fillId="15" borderId="26" xfId="0" applyFont="1" applyFill="1" applyBorder="1" applyAlignment="1">
      <alignment horizontal="center" vertical="center" shrinkToFit="1"/>
    </xf>
    <xf numFmtId="0" fontId="12" fillId="15" borderId="152" xfId="0" applyFont="1" applyFill="1" applyBorder="1" applyAlignment="1">
      <alignment horizontal="center" vertical="center" shrinkToFit="1"/>
    </xf>
    <xf numFmtId="0" fontId="0" fillId="6" borderId="122" xfId="0" applyFill="1" applyBorder="1" applyAlignment="1">
      <alignment horizontal="center" vertical="center" wrapText="1"/>
    </xf>
    <xf numFmtId="0" fontId="0" fillId="6" borderId="34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40" fillId="8" borderId="20" xfId="0" applyFont="1" applyFill="1" applyBorder="1" applyAlignment="1">
      <alignment horizontal="center" vertical="center"/>
    </xf>
    <xf numFmtId="0" fontId="40" fillId="8" borderId="16" xfId="0" applyFont="1" applyFill="1" applyBorder="1" applyAlignment="1">
      <alignment horizontal="center" vertical="center"/>
    </xf>
    <xf numFmtId="0" fontId="25" fillId="6" borderId="98" xfId="0" applyFont="1" applyFill="1" applyBorder="1" applyAlignment="1">
      <alignment horizontal="center" vertical="center"/>
    </xf>
    <xf numFmtId="0" fontId="25" fillId="6" borderId="82" xfId="0" applyFont="1" applyFill="1" applyBorder="1" applyAlignment="1">
      <alignment horizontal="center" vertical="center"/>
    </xf>
    <xf numFmtId="0" fontId="27" fillId="6" borderId="93" xfId="0" applyFont="1" applyFill="1" applyBorder="1" applyAlignment="1">
      <alignment horizontal="center" vertical="center"/>
    </xf>
    <xf numFmtId="0" fontId="27" fillId="6" borderId="77" xfId="0" applyFont="1" applyFill="1" applyBorder="1" applyAlignment="1">
      <alignment horizontal="center" vertical="center"/>
    </xf>
    <xf numFmtId="0" fontId="27" fillId="6" borderId="67" xfId="0" applyFont="1" applyFill="1" applyBorder="1" applyAlignment="1">
      <alignment horizontal="center" vertical="center"/>
    </xf>
    <xf numFmtId="0" fontId="27" fillId="6" borderId="88" xfId="0" applyFont="1" applyFill="1" applyBorder="1" applyAlignment="1">
      <alignment horizontal="center" vertical="center"/>
    </xf>
    <xf numFmtId="0" fontId="27" fillId="6" borderId="46" xfId="0" applyFont="1" applyFill="1" applyBorder="1" applyAlignment="1">
      <alignment horizontal="center" vertical="center"/>
    </xf>
    <xf numFmtId="0" fontId="27" fillId="6" borderId="38" xfId="0" applyFont="1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6" borderId="193" xfId="0" applyFill="1" applyBorder="1" applyAlignment="1">
      <alignment horizontal="center" vertical="center"/>
    </xf>
    <xf numFmtId="0" fontId="0" fillId="6" borderId="194" xfId="0" applyFill="1" applyBorder="1" applyAlignment="1">
      <alignment horizontal="center" vertical="center"/>
    </xf>
    <xf numFmtId="177" fontId="25" fillId="6" borderId="187" xfId="0" applyNumberFormat="1" applyFont="1" applyFill="1" applyBorder="1" applyAlignment="1">
      <alignment horizontal="center" vertical="center"/>
    </xf>
    <xf numFmtId="177" fontId="25" fillId="6" borderId="65" xfId="0" applyNumberFormat="1" applyFont="1" applyFill="1" applyBorder="1" applyAlignment="1">
      <alignment horizontal="center" vertical="center"/>
    </xf>
    <xf numFmtId="177" fontId="25" fillId="17" borderId="198" xfId="3" applyNumberFormat="1" applyFont="1" applyFill="1" applyBorder="1" applyAlignment="1">
      <alignment horizontal="center" vertical="center"/>
    </xf>
    <xf numFmtId="177" fontId="25" fillId="17" borderId="96" xfId="3" applyNumberFormat="1" applyFont="1" applyFill="1" applyBorder="1" applyAlignment="1">
      <alignment horizontal="center" vertical="center"/>
    </xf>
    <xf numFmtId="0" fontId="0" fillId="8" borderId="62" xfId="0" applyFill="1" applyBorder="1" applyAlignment="1">
      <alignment horizontal="center" vertical="center"/>
    </xf>
    <xf numFmtId="176" fontId="42" fillId="0" borderId="1" xfId="0" applyNumberFormat="1" applyFont="1" applyBorder="1" applyAlignment="1">
      <alignment horizontal="center" vertical="center"/>
    </xf>
    <xf numFmtId="177" fontId="25" fillId="15" borderId="62" xfId="0" applyNumberFormat="1" applyFont="1" applyFill="1" applyBorder="1" applyAlignment="1">
      <alignment horizontal="center" vertical="center" shrinkToFit="1"/>
    </xf>
    <xf numFmtId="177" fontId="25" fillId="15" borderId="156" xfId="0" applyNumberFormat="1" applyFont="1" applyFill="1" applyBorder="1" applyAlignment="1">
      <alignment horizontal="center" vertical="center" shrinkToFit="1"/>
    </xf>
    <xf numFmtId="177" fontId="25" fillId="6" borderId="22" xfId="0" applyNumberFormat="1" applyFont="1" applyFill="1" applyBorder="1" applyAlignment="1">
      <alignment horizontal="center" vertical="center"/>
    </xf>
    <xf numFmtId="177" fontId="63" fillId="15" borderId="214" xfId="0" applyNumberFormat="1" applyFont="1" applyFill="1" applyBorder="1" applyAlignment="1">
      <alignment horizontal="center" vertical="center" shrinkToFit="1"/>
    </xf>
    <xf numFmtId="177" fontId="63" fillId="15" borderId="215" xfId="0" applyNumberFormat="1" applyFont="1" applyFill="1" applyBorder="1" applyAlignment="1">
      <alignment horizontal="center" vertical="center" shrinkToFit="1"/>
    </xf>
    <xf numFmtId="177" fontId="25" fillId="17" borderId="225" xfId="0" applyNumberFormat="1" applyFont="1" applyFill="1" applyBorder="1" applyAlignment="1">
      <alignment horizontal="center" vertical="center" shrinkToFit="1"/>
    </xf>
    <xf numFmtId="177" fontId="25" fillId="17" borderId="223" xfId="0" applyNumberFormat="1" applyFont="1" applyFill="1" applyBorder="1" applyAlignment="1">
      <alignment horizontal="center" vertical="center" shrinkToFit="1"/>
    </xf>
    <xf numFmtId="177" fontId="25" fillId="17" borderId="59" xfId="0" applyNumberFormat="1" applyFont="1" applyFill="1" applyBorder="1" applyAlignment="1">
      <alignment horizontal="center" vertical="center" shrinkToFit="1"/>
    </xf>
    <xf numFmtId="0" fontId="12" fillId="15" borderId="205" xfId="0" applyFont="1" applyFill="1" applyBorder="1" applyAlignment="1">
      <alignment horizontal="center" vertical="center" shrinkToFit="1"/>
    </xf>
    <xf numFmtId="0" fontId="12" fillId="15" borderId="206" xfId="0" applyFont="1" applyFill="1" applyBorder="1" applyAlignment="1">
      <alignment horizontal="center" vertical="center" shrinkToFit="1"/>
    </xf>
    <xf numFmtId="0" fontId="12" fillId="15" borderId="101" xfId="0" applyFont="1" applyFill="1" applyBorder="1" applyAlignment="1">
      <alignment horizontal="center" vertical="center" shrinkToFit="1"/>
    </xf>
    <xf numFmtId="0" fontId="0" fillId="0" borderId="85" xfId="0" applyBorder="1" applyAlignment="1">
      <alignment horizontal="left" vertical="center"/>
    </xf>
    <xf numFmtId="0" fontId="0" fillId="0" borderId="57" xfId="0" applyBorder="1" applyAlignment="1">
      <alignment horizontal="left" vertical="center"/>
    </xf>
    <xf numFmtId="0" fontId="0" fillId="0" borderId="57" xfId="0" applyBorder="1" applyAlignment="1">
      <alignment horizontal="left" vertical="center" shrinkToFit="1"/>
    </xf>
    <xf numFmtId="0" fontId="0" fillId="0" borderId="83" xfId="0" applyBorder="1" applyAlignment="1">
      <alignment horizontal="left" vertical="center" shrinkToFit="1"/>
    </xf>
    <xf numFmtId="38" fontId="22" fillId="4" borderId="95" xfId="1" applyFill="1" applyBorder="1" applyAlignment="1">
      <alignment horizontal="center" vertical="center"/>
    </xf>
    <xf numFmtId="38" fontId="22" fillId="4" borderId="96" xfId="1" applyFill="1" applyBorder="1" applyAlignment="1">
      <alignment horizontal="center" vertical="center"/>
    </xf>
    <xf numFmtId="0" fontId="0" fillId="8" borderId="45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90" xfId="0" applyFill="1" applyBorder="1" applyAlignment="1">
      <alignment horizontal="center" vertical="center"/>
    </xf>
    <xf numFmtId="177" fontId="25" fillId="6" borderId="34" xfId="0" applyNumberFormat="1" applyFont="1" applyFill="1" applyBorder="1" applyAlignment="1">
      <alignment horizontal="center" vertical="center"/>
    </xf>
    <xf numFmtId="177" fontId="25" fillId="6" borderId="64" xfId="0" applyNumberFormat="1" applyFont="1" applyFill="1" applyBorder="1" applyAlignment="1">
      <alignment horizontal="center" vertical="center"/>
    </xf>
    <xf numFmtId="177" fontId="25" fillId="6" borderId="0" xfId="0" applyNumberFormat="1" applyFont="1" applyFill="1" applyAlignment="1">
      <alignment horizontal="center" vertical="center"/>
    </xf>
    <xf numFmtId="177" fontId="25" fillId="6" borderId="70" xfId="0" applyNumberFormat="1" applyFont="1" applyFill="1" applyBorder="1" applyAlignment="1">
      <alignment horizontal="center" vertical="center"/>
    </xf>
    <xf numFmtId="177" fontId="25" fillId="6" borderId="1" xfId="0" applyNumberFormat="1" applyFont="1" applyFill="1" applyBorder="1" applyAlignment="1">
      <alignment horizontal="center" vertical="center"/>
    </xf>
    <xf numFmtId="177" fontId="25" fillId="6" borderId="68" xfId="0" applyNumberFormat="1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7" xfId="0" applyNumberFormat="1" applyBorder="1" applyAlignment="1">
      <alignment horizontal="center" vertical="center"/>
    </xf>
    <xf numFmtId="176" fontId="0" fillId="0" borderId="89" xfId="0" applyNumberForma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7" fillId="6" borderId="32" xfId="0" applyFont="1" applyFill="1" applyBorder="1" applyAlignment="1">
      <alignment horizontal="center" vertical="center"/>
    </xf>
    <xf numFmtId="0" fontId="40" fillId="17" borderId="26" xfId="0" applyFont="1" applyFill="1" applyBorder="1" applyAlignment="1">
      <alignment horizontal="center" vertical="center" shrinkToFit="1"/>
    </xf>
    <xf numFmtId="0" fontId="40" fillId="17" borderId="51" xfId="0" applyFont="1" applyFill="1" applyBorder="1" applyAlignment="1">
      <alignment horizontal="center" vertical="center" shrinkToFit="1"/>
    </xf>
    <xf numFmtId="0" fontId="27" fillId="6" borderId="5" xfId="0" applyFont="1" applyFill="1" applyBorder="1" applyAlignment="1">
      <alignment horizontal="center" vertical="center"/>
    </xf>
    <xf numFmtId="0" fontId="40" fillId="8" borderId="33" xfId="0" applyFont="1" applyFill="1" applyBorder="1" applyAlignment="1">
      <alignment horizontal="center" vertical="center"/>
    </xf>
    <xf numFmtId="0" fontId="40" fillId="8" borderId="32" xfId="0" applyFont="1" applyFill="1" applyBorder="1" applyAlignment="1">
      <alignment horizontal="center" vertical="center"/>
    </xf>
    <xf numFmtId="0" fontId="24" fillId="6" borderId="42" xfId="0" applyFont="1" applyFill="1" applyBorder="1" applyAlignment="1">
      <alignment horizontal="center" vertical="center" wrapText="1"/>
    </xf>
    <xf numFmtId="0" fontId="24" fillId="6" borderId="99" xfId="0" applyFont="1" applyFill="1" applyBorder="1" applyAlignment="1">
      <alignment horizontal="center" vertical="center" wrapText="1"/>
    </xf>
    <xf numFmtId="0" fontId="30" fillId="4" borderId="85" xfId="0" applyFont="1" applyFill="1" applyBorder="1" applyAlignment="1">
      <alignment horizontal="center" vertical="center"/>
    </xf>
    <xf numFmtId="0" fontId="30" fillId="4" borderId="57" xfId="0" applyFont="1" applyFill="1" applyBorder="1" applyAlignment="1">
      <alignment horizontal="center" vertical="center"/>
    </xf>
    <xf numFmtId="0" fontId="30" fillId="9" borderId="46" xfId="0" applyFont="1" applyFill="1" applyBorder="1" applyAlignment="1">
      <alignment horizontal="center" vertical="center"/>
    </xf>
    <xf numFmtId="0" fontId="30" fillId="9" borderId="88" xfId="0" applyFont="1" applyFill="1" applyBorder="1" applyAlignment="1">
      <alignment horizontal="center" vertical="center" shrinkToFit="1"/>
    </xf>
    <xf numFmtId="0" fontId="30" fillId="9" borderId="38" xfId="0" applyFont="1" applyFill="1" applyBorder="1" applyAlignment="1">
      <alignment horizontal="center" vertical="center" shrinkToFit="1"/>
    </xf>
    <xf numFmtId="0" fontId="30" fillId="4" borderId="85" xfId="0" applyFont="1" applyFill="1" applyBorder="1" applyAlignment="1">
      <alignment horizontal="center" vertical="center" shrinkToFit="1"/>
    </xf>
    <xf numFmtId="0" fontId="30" fillId="4" borderId="83" xfId="0" applyFont="1" applyFill="1" applyBorder="1" applyAlignment="1">
      <alignment horizontal="center" vertical="center" shrinkToFit="1"/>
    </xf>
    <xf numFmtId="0" fontId="30" fillId="4" borderId="83" xfId="0" applyFont="1" applyFill="1" applyBorder="1" applyAlignment="1">
      <alignment horizontal="center" vertical="center"/>
    </xf>
    <xf numFmtId="0" fontId="0" fillId="4" borderId="91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26" fillId="4" borderId="92" xfId="0" applyFont="1" applyFill="1" applyBorder="1" applyAlignment="1">
      <alignment horizontal="center" vertical="center"/>
    </xf>
    <xf numFmtId="0" fontId="26" fillId="4" borderId="38" xfId="0" applyFont="1" applyFill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26" fillId="4" borderId="39" xfId="0" applyFont="1" applyFill="1" applyBorder="1" applyAlignment="1">
      <alignment horizontal="center" vertical="center"/>
    </xf>
    <xf numFmtId="0" fontId="0" fillId="4" borderId="62" xfId="0" applyFill="1" applyBorder="1" applyAlignment="1">
      <alignment horizontal="center" vertical="center"/>
    </xf>
    <xf numFmtId="0" fontId="0" fillId="19" borderId="17" xfId="0" applyFill="1" applyBorder="1" applyAlignment="1">
      <alignment horizontal="center" vertical="center"/>
    </xf>
    <xf numFmtId="0" fontId="0" fillId="19" borderId="5" xfId="0" applyFill="1" applyBorder="1" applyAlignment="1">
      <alignment horizontal="center" vertical="center"/>
    </xf>
    <xf numFmtId="38" fontId="24" fillId="0" borderId="1" xfId="1" applyFont="1" applyBorder="1" applyAlignment="1">
      <alignment horizontal="right" vertical="center"/>
    </xf>
    <xf numFmtId="0" fontId="30" fillId="19" borderId="57" xfId="0" applyFont="1" applyFill="1" applyBorder="1" applyAlignment="1">
      <alignment horizontal="center" vertical="center"/>
    </xf>
    <xf numFmtId="0" fontId="0" fillId="19" borderId="91" xfId="0" applyFill="1" applyBorder="1" applyAlignment="1">
      <alignment horizontal="center" vertical="center"/>
    </xf>
    <xf numFmtId="0" fontId="54" fillId="19" borderId="197" xfId="0" applyFont="1" applyFill="1" applyBorder="1" applyAlignment="1">
      <alignment horizontal="center" vertical="center"/>
    </xf>
    <xf numFmtId="0" fontId="54" fillId="19" borderId="36" xfId="0" applyFont="1" applyFill="1" applyBorder="1" applyAlignment="1">
      <alignment horizontal="center" vertical="center"/>
    </xf>
    <xf numFmtId="0" fontId="27" fillId="6" borderId="48" xfId="0" applyFont="1" applyFill="1" applyBorder="1" applyAlignment="1">
      <alignment horizontal="center" vertical="center"/>
    </xf>
    <xf numFmtId="0" fontId="27" fillId="6" borderId="57" xfId="0" applyFont="1" applyFill="1" applyBorder="1" applyAlignment="1">
      <alignment horizontal="center" vertical="center"/>
    </xf>
    <xf numFmtId="177" fontId="25" fillId="6" borderId="188" xfId="0" applyNumberFormat="1" applyFont="1" applyFill="1" applyBorder="1" applyAlignment="1">
      <alignment horizontal="center" vertical="center"/>
    </xf>
    <xf numFmtId="177" fontId="25" fillId="6" borderId="97" xfId="0" applyNumberFormat="1" applyFont="1" applyFill="1" applyBorder="1" applyAlignment="1">
      <alignment horizontal="center" vertical="center"/>
    </xf>
    <xf numFmtId="0" fontId="0" fillId="19" borderId="62" xfId="0" applyFill="1" applyBorder="1" applyAlignment="1">
      <alignment horizontal="center" vertical="center"/>
    </xf>
    <xf numFmtId="0" fontId="26" fillId="19" borderId="38" xfId="0" applyFont="1" applyFill="1" applyBorder="1" applyAlignment="1">
      <alignment horizontal="center" vertical="center"/>
    </xf>
    <xf numFmtId="0" fontId="26" fillId="19" borderId="68" xfId="0" applyFont="1" applyFill="1" applyBorder="1" applyAlignment="1">
      <alignment horizontal="center" vertical="center"/>
    </xf>
    <xf numFmtId="0" fontId="2" fillId="0" borderId="111" xfId="2" applyBorder="1" applyAlignment="1">
      <alignment horizontal="center" vertical="center" wrapText="1"/>
    </xf>
    <xf numFmtId="0" fontId="2" fillId="0" borderId="112" xfId="2" applyBorder="1" applyAlignment="1">
      <alignment horizontal="center" vertical="center" wrapText="1"/>
    </xf>
    <xf numFmtId="0" fontId="7" fillId="11" borderId="113" xfId="2" applyFont="1" applyFill="1" applyBorder="1" applyAlignment="1">
      <alignment horizontal="center" vertical="center"/>
    </xf>
    <xf numFmtId="0" fontId="7" fillId="11" borderId="114" xfId="2" applyFont="1" applyFill="1" applyBorder="1" applyAlignment="1">
      <alignment horizontal="center" vertical="center"/>
    </xf>
    <xf numFmtId="0" fontId="7" fillId="11" borderId="115" xfId="2" applyFont="1" applyFill="1" applyBorder="1" applyAlignment="1">
      <alignment horizontal="center" vertical="center"/>
    </xf>
    <xf numFmtId="0" fontId="7" fillId="11" borderId="116" xfId="2" applyFont="1" applyFill="1" applyBorder="1" applyAlignment="1">
      <alignment horizontal="center" vertical="center"/>
    </xf>
    <xf numFmtId="0" fontId="27" fillId="0" borderId="4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27" fillId="0" borderId="78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58" xfId="0" applyFont="1" applyBorder="1" applyAlignment="1">
      <alignment horizontal="center" vertical="center" wrapText="1"/>
    </xf>
    <xf numFmtId="0" fontId="27" fillId="0" borderId="59" xfId="0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/>
    </xf>
    <xf numFmtId="0" fontId="10" fillId="0" borderId="1" xfId="2" applyFont="1" applyBorder="1" applyAlignment="1">
      <alignment horizontal="left" shrinkToFit="1"/>
    </xf>
    <xf numFmtId="5" fontId="2" fillId="0" borderId="46" xfId="2" applyNumberFormat="1" applyBorder="1" applyAlignment="1">
      <alignment horizontal="center"/>
    </xf>
    <xf numFmtId="0" fontId="0" fillId="0" borderId="44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/>
    </xf>
    <xf numFmtId="0" fontId="9" fillId="3" borderId="3" xfId="2" applyFont="1" applyFill="1" applyBorder="1" applyAlignment="1">
      <alignment horizontal="center" vertical="center" shrinkToFit="1"/>
    </xf>
    <xf numFmtId="0" fontId="9" fillId="3" borderId="16" xfId="2" applyFont="1" applyFill="1" applyBorder="1" applyAlignment="1">
      <alignment horizontal="center" vertical="center" shrinkToFit="1"/>
    </xf>
    <xf numFmtId="0" fontId="44" fillId="6" borderId="45" xfId="0" applyFont="1" applyFill="1" applyBorder="1" applyAlignment="1">
      <alignment horizontal="center" vertical="center"/>
    </xf>
    <xf numFmtId="0" fontId="44" fillId="6" borderId="47" xfId="0" applyFont="1" applyFill="1" applyBorder="1" applyAlignment="1">
      <alignment horizontal="center" vertical="center"/>
    </xf>
    <xf numFmtId="0" fontId="44" fillId="6" borderId="36" xfId="0" applyFont="1" applyFill="1" applyBorder="1" applyAlignment="1">
      <alignment horizontal="center" vertical="center"/>
    </xf>
    <xf numFmtId="0" fontId="44" fillId="6" borderId="48" xfId="0" applyFont="1" applyFill="1" applyBorder="1" applyAlignment="1">
      <alignment horizontal="center" vertical="center"/>
    </xf>
    <xf numFmtId="0" fontId="44" fillId="6" borderId="57" xfId="0" applyFont="1" applyFill="1" applyBorder="1" applyAlignment="1">
      <alignment horizontal="center" vertical="center"/>
    </xf>
    <xf numFmtId="0" fontId="44" fillId="6" borderId="69" xfId="0" applyFont="1" applyFill="1" applyBorder="1" applyAlignment="1">
      <alignment horizontal="center" vertical="center"/>
    </xf>
    <xf numFmtId="0" fontId="14" fillId="0" borderId="0" xfId="2" applyFont="1" applyAlignment="1">
      <alignment horizontal="center"/>
    </xf>
    <xf numFmtId="0" fontId="14" fillId="0" borderId="217" xfId="2" applyFont="1" applyBorder="1" applyAlignment="1">
      <alignment horizontal="center"/>
    </xf>
    <xf numFmtId="0" fontId="27" fillId="0" borderId="93" xfId="0" applyFont="1" applyBorder="1" applyAlignment="1">
      <alignment horizontal="center" vertical="center"/>
    </xf>
    <xf numFmtId="0" fontId="27" fillId="0" borderId="102" xfId="0" applyFont="1" applyBorder="1" applyAlignment="1">
      <alignment horizontal="center" vertical="center"/>
    </xf>
    <xf numFmtId="0" fontId="27" fillId="0" borderId="29" xfId="0" applyFont="1" applyBorder="1" applyAlignment="1">
      <alignment horizontal="center" vertical="center"/>
    </xf>
    <xf numFmtId="0" fontId="27" fillId="0" borderId="87" xfId="0" applyFont="1" applyBorder="1" applyAlignment="1">
      <alignment horizontal="center" vertical="center"/>
    </xf>
    <xf numFmtId="0" fontId="27" fillId="0" borderId="94" xfId="0" applyFont="1" applyBorder="1" applyAlignment="1">
      <alignment horizontal="center" vertical="center"/>
    </xf>
    <xf numFmtId="0" fontId="27" fillId="0" borderId="66" xfId="0" applyFont="1" applyBorder="1" applyAlignment="1">
      <alignment horizontal="center" vertical="center"/>
    </xf>
    <xf numFmtId="0" fontId="44" fillId="0" borderId="109" xfId="0" applyFont="1" applyBorder="1" applyAlignment="1">
      <alignment horizontal="center" vertical="center"/>
    </xf>
    <xf numFmtId="0" fontId="44" fillId="0" borderId="162" xfId="0" applyFont="1" applyBorder="1" applyAlignment="1">
      <alignment horizontal="center" vertical="center"/>
    </xf>
    <xf numFmtId="0" fontId="44" fillId="0" borderId="110" xfId="0" applyFont="1" applyBorder="1" applyAlignment="1">
      <alignment horizontal="center" vertical="center"/>
    </xf>
    <xf numFmtId="0" fontId="59" fillId="0" borderId="103" xfId="2" applyFont="1" applyBorder="1" applyAlignment="1">
      <alignment horizontal="center" vertical="center"/>
    </xf>
    <xf numFmtId="0" fontId="59" fillId="0" borderId="105" xfId="2" applyFont="1" applyBorder="1" applyAlignment="1">
      <alignment horizontal="center" vertical="center"/>
    </xf>
    <xf numFmtId="0" fontId="2" fillId="0" borderId="94" xfId="2" applyBorder="1" applyAlignment="1">
      <alignment horizontal="center"/>
    </xf>
    <xf numFmtId="0" fontId="2" fillId="0" borderId="1" xfId="2" applyBorder="1" applyAlignment="1">
      <alignment horizontal="center"/>
    </xf>
    <xf numFmtId="0" fontId="8" fillId="0" borderId="1" xfId="2" applyFont="1" applyBorder="1" applyAlignment="1">
      <alignment horizontal="left" shrinkToFit="1"/>
    </xf>
    <xf numFmtId="0" fontId="56" fillId="0" borderId="160" xfId="0" applyFont="1" applyBorder="1" applyAlignment="1">
      <alignment horizontal="center" vertical="center"/>
    </xf>
    <xf numFmtId="0" fontId="11" fillId="0" borderId="160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84" xfId="0" applyFont="1" applyBorder="1" applyAlignment="1">
      <alignment horizontal="center" vertical="center"/>
    </xf>
    <xf numFmtId="0" fontId="11" fillId="0" borderId="5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9" fillId="3" borderId="44" xfId="2" applyFont="1" applyFill="1" applyBorder="1" applyAlignment="1">
      <alignment horizontal="center" vertical="center" shrinkToFit="1"/>
    </xf>
    <xf numFmtId="0" fontId="9" fillId="3" borderId="73" xfId="2" applyFont="1" applyFill="1" applyBorder="1" applyAlignment="1">
      <alignment horizontal="center" vertical="center" shrinkToFit="1"/>
    </xf>
    <xf numFmtId="0" fontId="9" fillId="3" borderId="60" xfId="2" applyFont="1" applyFill="1" applyBorder="1" applyAlignment="1">
      <alignment horizontal="center" vertical="center" shrinkToFit="1"/>
    </xf>
    <xf numFmtId="0" fontId="44" fillId="6" borderId="44" xfId="0" applyFont="1" applyFill="1" applyBorder="1" applyAlignment="1">
      <alignment horizontal="center" vertical="center"/>
    </xf>
    <xf numFmtId="0" fontId="44" fillId="6" borderId="73" xfId="0" applyFont="1" applyFill="1" applyBorder="1" applyAlignment="1">
      <alignment horizontal="center" vertical="center"/>
    </xf>
    <xf numFmtId="0" fontId="44" fillId="6" borderId="60" xfId="0" applyFont="1" applyFill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57" xfId="0" applyFont="1" applyBorder="1" applyAlignment="1">
      <alignment horizontal="center" vertical="center"/>
    </xf>
    <xf numFmtId="0" fontId="5" fillId="0" borderId="83" xfId="0" applyFont="1" applyBorder="1" applyAlignment="1">
      <alignment horizontal="center" vertical="center"/>
    </xf>
    <xf numFmtId="0" fontId="44" fillId="6" borderId="63" xfId="0" applyFont="1" applyFill="1" applyBorder="1" applyAlignment="1">
      <alignment horizontal="center" vertical="center"/>
    </xf>
    <xf numFmtId="0" fontId="0" fillId="0" borderId="117" xfId="0" applyBorder="1" applyAlignment="1">
      <alignment horizontal="center" vertical="center" wrapText="1"/>
    </xf>
    <xf numFmtId="0" fontId="0" fillId="0" borderId="102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38" fontId="15" fillId="2" borderId="93" xfId="2" applyNumberFormat="1" applyFont="1" applyFill="1" applyBorder="1" applyAlignment="1">
      <alignment horizontal="center" vertical="center"/>
    </xf>
    <xf numFmtId="0" fontId="15" fillId="2" borderId="67" xfId="2" applyFont="1" applyFill="1" applyBorder="1" applyAlignment="1">
      <alignment horizontal="center" vertical="center"/>
    </xf>
    <xf numFmtId="0" fontId="15" fillId="2" borderId="94" xfId="2" applyFont="1" applyFill="1" applyBorder="1" applyAlignment="1">
      <alignment horizontal="center" vertical="center"/>
    </xf>
    <xf numFmtId="0" fontId="15" fillId="2" borderId="68" xfId="2" applyFont="1" applyFill="1" applyBorder="1" applyAlignment="1">
      <alignment horizontal="center" vertical="center"/>
    </xf>
    <xf numFmtId="0" fontId="2" fillId="0" borderId="94" xfId="2" applyBorder="1" applyAlignment="1">
      <alignment horizontal="center" vertical="center"/>
    </xf>
    <xf numFmtId="0" fontId="2" fillId="0" borderId="68" xfId="2" applyBorder="1" applyAlignment="1">
      <alignment horizontal="center" vertical="center"/>
    </xf>
    <xf numFmtId="0" fontId="2" fillId="0" borderId="93" xfId="2" applyBorder="1" applyAlignment="1">
      <alignment horizontal="center" vertical="center" wrapText="1"/>
    </xf>
    <xf numFmtId="0" fontId="2" fillId="0" borderId="67" xfId="2" applyBorder="1" applyAlignment="1">
      <alignment horizontal="center" vertical="center" wrapText="1"/>
    </xf>
    <xf numFmtId="0" fontId="15" fillId="11" borderId="93" xfId="2" applyFont="1" applyFill="1" applyBorder="1" applyAlignment="1">
      <alignment horizontal="center" vertical="center"/>
    </xf>
    <xf numFmtId="0" fontId="44" fillId="6" borderId="91" xfId="0" applyFont="1" applyFill="1" applyBorder="1" applyAlignment="1">
      <alignment horizontal="center" vertical="center"/>
    </xf>
    <xf numFmtId="0" fontId="44" fillId="6" borderId="72" xfId="0" applyFont="1" applyFill="1" applyBorder="1" applyAlignment="1">
      <alignment horizontal="center" vertical="center"/>
    </xf>
    <xf numFmtId="0" fontId="44" fillId="6" borderId="161" xfId="0" applyFont="1" applyFill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44" fillId="6" borderId="5" xfId="0" applyFont="1" applyFill="1" applyBorder="1" applyAlignment="1">
      <alignment horizontal="center" vertical="center"/>
    </xf>
    <xf numFmtId="0" fontId="44" fillId="6" borderId="46" xfId="0" applyFont="1" applyFill="1" applyBorder="1" applyAlignment="1">
      <alignment horizontal="center" vertical="center"/>
    </xf>
    <xf numFmtId="0" fontId="44" fillId="6" borderId="32" xfId="0" applyFont="1" applyFill="1" applyBorder="1" applyAlignment="1">
      <alignment horizontal="center" vertical="center"/>
    </xf>
    <xf numFmtId="0" fontId="2" fillId="0" borderId="46" xfId="2" applyBorder="1" applyAlignment="1">
      <alignment horizontal="center"/>
    </xf>
    <xf numFmtId="5" fontId="57" fillId="0" borderId="49" xfId="2" applyNumberFormat="1" applyFont="1" applyBorder="1" applyAlignment="1">
      <alignment horizontal="center"/>
    </xf>
    <xf numFmtId="0" fontId="2" fillId="0" borderId="0" xfId="2" applyAlignment="1">
      <alignment horizontal="center"/>
    </xf>
    <xf numFmtId="5" fontId="57" fillId="0" borderId="0" xfId="2" applyNumberFormat="1" applyFont="1" applyAlignment="1">
      <alignment horizontal="center"/>
    </xf>
    <xf numFmtId="0" fontId="53" fillId="0" borderId="47" xfId="2" applyFont="1" applyBorder="1" applyAlignment="1">
      <alignment horizontal="center" wrapText="1"/>
    </xf>
    <xf numFmtId="0" fontId="53" fillId="0" borderId="46" xfId="2" applyFont="1" applyBorder="1" applyAlignment="1">
      <alignment horizontal="center" wrapText="1"/>
    </xf>
    <xf numFmtId="0" fontId="2" fillId="0" borderId="103" xfId="2" applyBorder="1" applyAlignment="1">
      <alignment horizontal="center" vertical="center"/>
    </xf>
    <xf numFmtId="0" fontId="2" fillId="0" borderId="105" xfId="2" applyBorder="1" applyAlignment="1">
      <alignment horizontal="center" vertical="center"/>
    </xf>
    <xf numFmtId="5" fontId="2" fillId="0" borderId="103" xfId="2" applyNumberFormat="1" applyBorder="1" applyAlignment="1">
      <alignment horizontal="center" vertical="center"/>
    </xf>
    <xf numFmtId="5" fontId="2" fillId="0" borderId="105" xfId="2" applyNumberFormat="1" applyBorder="1" applyAlignment="1">
      <alignment horizontal="center" vertical="center"/>
    </xf>
    <xf numFmtId="0" fontId="2" fillId="0" borderId="0" xfId="2" applyAlignment="1">
      <alignment horizontal="center" vertical="center"/>
    </xf>
    <xf numFmtId="0" fontId="2" fillId="0" borderId="70" xfId="2" applyBorder="1" applyAlignment="1">
      <alignment horizontal="center" vertical="center"/>
    </xf>
    <xf numFmtId="0" fontId="8" fillId="4" borderId="103" xfId="2" applyFont="1" applyFill="1" applyBorder="1" applyAlignment="1">
      <alignment horizontal="center" vertical="center"/>
    </xf>
    <xf numFmtId="0" fontId="8" fillId="4" borderId="104" xfId="2" applyFont="1" applyFill="1" applyBorder="1" applyAlignment="1">
      <alignment horizontal="center" vertical="center"/>
    </xf>
    <xf numFmtId="0" fontId="8" fillId="4" borderId="105" xfId="2" applyFont="1" applyFill="1" applyBorder="1" applyAlignment="1">
      <alignment horizontal="center" vertical="center"/>
    </xf>
    <xf numFmtId="0" fontId="8" fillId="4" borderId="189" xfId="2" applyFont="1" applyFill="1" applyBorder="1" applyAlignment="1">
      <alignment horizontal="center" vertical="center"/>
    </xf>
    <xf numFmtId="0" fontId="8" fillId="4" borderId="190" xfId="2" applyFont="1" applyFill="1" applyBorder="1" applyAlignment="1">
      <alignment horizontal="center" vertical="center"/>
    </xf>
    <xf numFmtId="0" fontId="8" fillId="4" borderId="191" xfId="2" applyFont="1" applyFill="1" applyBorder="1" applyAlignment="1">
      <alignment horizontal="center" vertical="center"/>
    </xf>
    <xf numFmtId="0" fontId="66" fillId="0" borderId="192" xfId="2" applyFont="1" applyBorder="1" applyAlignment="1">
      <alignment horizontal="center" vertical="center"/>
    </xf>
    <xf numFmtId="5" fontId="9" fillId="4" borderId="76" xfId="2" applyNumberFormat="1" applyFont="1" applyFill="1" applyBorder="1" applyAlignment="1">
      <alignment horizontal="center" vertical="center"/>
    </xf>
    <xf numFmtId="0" fontId="9" fillId="4" borderId="76" xfId="2" applyFont="1" applyFill="1" applyBorder="1" applyAlignment="1">
      <alignment horizontal="center" vertical="center"/>
    </xf>
    <xf numFmtId="0" fontId="9" fillId="4" borderId="119" xfId="2" applyFont="1" applyFill="1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44" fillId="6" borderId="3" xfId="0" applyFont="1" applyFill="1" applyBorder="1" applyAlignment="1">
      <alignment horizontal="center" vertical="center"/>
    </xf>
    <xf numFmtId="0" fontId="44" fillId="6" borderId="59" xfId="0" applyFont="1" applyFill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5" fillId="0" borderId="85" xfId="0" applyFont="1" applyBorder="1" applyAlignment="1">
      <alignment horizontal="center" vertical="center"/>
    </xf>
    <xf numFmtId="0" fontId="5" fillId="0" borderId="69" xfId="0" applyFont="1" applyBorder="1" applyAlignment="1">
      <alignment horizontal="center" vertical="center"/>
    </xf>
    <xf numFmtId="0" fontId="17" fillId="0" borderId="93" xfId="2" applyFont="1" applyBorder="1" applyAlignment="1">
      <alignment horizontal="center" vertical="center" wrapText="1"/>
    </xf>
    <xf numFmtId="0" fontId="17" fillId="0" borderId="77" xfId="2" applyFont="1" applyBorder="1" applyAlignment="1">
      <alignment horizontal="center" vertical="center" wrapText="1"/>
    </xf>
    <xf numFmtId="0" fontId="17" fillId="0" borderId="102" xfId="2" applyFont="1" applyBorder="1" applyAlignment="1">
      <alignment horizontal="center" vertical="center" wrapText="1"/>
    </xf>
    <xf numFmtId="0" fontId="17" fillId="0" borderId="29" xfId="2" applyFont="1" applyBorder="1" applyAlignment="1">
      <alignment horizontal="center" vertical="center" wrapText="1"/>
    </xf>
    <xf numFmtId="0" fontId="17" fillId="0" borderId="0" xfId="2" applyFont="1" applyAlignment="1">
      <alignment horizontal="center" vertical="center" wrapText="1"/>
    </xf>
    <xf numFmtId="0" fontId="17" fillId="0" borderId="87" xfId="2" applyFont="1" applyBorder="1" applyAlignment="1">
      <alignment horizontal="center" vertical="center" wrapText="1"/>
    </xf>
    <xf numFmtId="0" fontId="17" fillId="0" borderId="94" xfId="2" applyFont="1" applyBorder="1" applyAlignment="1">
      <alignment horizontal="center" vertical="center" wrapText="1"/>
    </xf>
    <xf numFmtId="0" fontId="17" fillId="0" borderId="1" xfId="2" applyFont="1" applyBorder="1" applyAlignment="1">
      <alignment horizontal="center" vertical="center" wrapText="1"/>
    </xf>
    <xf numFmtId="0" fontId="17" fillId="0" borderId="66" xfId="2" applyFont="1" applyBorder="1" applyAlignment="1">
      <alignment horizontal="center" vertical="center" wrapText="1"/>
    </xf>
    <xf numFmtId="0" fontId="44" fillId="6" borderId="163" xfId="0" applyFont="1" applyFill="1" applyBorder="1" applyAlignment="1">
      <alignment horizontal="center" vertical="center"/>
    </xf>
    <xf numFmtId="0" fontId="44" fillId="6" borderId="164" xfId="0" applyFont="1" applyFill="1" applyBorder="1" applyAlignment="1">
      <alignment horizontal="center" vertical="center"/>
    </xf>
    <xf numFmtId="0" fontId="17" fillId="0" borderId="126" xfId="2" applyFont="1" applyBorder="1" applyAlignment="1">
      <alignment horizontal="center" vertical="center"/>
    </xf>
    <xf numFmtId="0" fontId="17" fillId="0" borderId="163" xfId="2" applyFont="1" applyBorder="1" applyAlignment="1">
      <alignment horizontal="center" vertical="center"/>
    </xf>
    <xf numFmtId="0" fontId="9" fillId="0" borderId="106" xfId="2" applyFont="1" applyBorder="1" applyAlignment="1">
      <alignment horizontal="center" vertical="center"/>
    </xf>
    <xf numFmtId="0" fontId="9" fillId="0" borderId="108" xfId="2" applyFont="1" applyBorder="1" applyAlignment="1">
      <alignment horizontal="center" vertical="center"/>
    </xf>
    <xf numFmtId="0" fontId="9" fillId="0" borderId="107" xfId="2" applyFont="1" applyBorder="1" applyAlignment="1">
      <alignment horizontal="center" vertical="center"/>
    </xf>
    <xf numFmtId="0" fontId="8" fillId="0" borderId="106" xfId="2" applyFont="1" applyBorder="1" applyAlignment="1">
      <alignment horizontal="center" vertical="center"/>
    </xf>
    <xf numFmtId="0" fontId="8" fillId="0" borderId="107" xfId="2" applyFont="1" applyBorder="1" applyAlignment="1">
      <alignment horizontal="center" vertical="center"/>
    </xf>
    <xf numFmtId="0" fontId="10" fillId="0" borderId="1" xfId="2" applyFont="1" applyBorder="1" applyAlignment="1">
      <alignment horizontal="left" indent="1"/>
    </xf>
    <xf numFmtId="0" fontId="10" fillId="0" borderId="1" xfId="2" applyFont="1" applyBorder="1" applyAlignment="1">
      <alignment horizontal="left"/>
    </xf>
    <xf numFmtId="0" fontId="0" fillId="0" borderId="62" xfId="0" applyBorder="1" applyAlignment="1">
      <alignment horizontal="center" vertical="center" wrapText="1"/>
    </xf>
    <xf numFmtId="0" fontId="0" fillId="0" borderId="66" xfId="0" applyBorder="1" applyAlignment="1">
      <alignment horizontal="center" vertical="center" wrapText="1"/>
    </xf>
    <xf numFmtId="0" fontId="0" fillId="0" borderId="117" xfId="0" applyBorder="1" applyAlignment="1">
      <alignment horizontal="center" vertical="center"/>
    </xf>
    <xf numFmtId="0" fontId="11" fillId="0" borderId="117" xfId="0" applyFont="1" applyBorder="1" applyAlignment="1">
      <alignment horizontal="center" vertical="center"/>
    </xf>
    <xf numFmtId="0" fontId="11" fillId="0" borderId="77" xfId="0" applyFont="1" applyBorder="1" applyAlignment="1">
      <alignment horizontal="center" vertical="center"/>
    </xf>
    <xf numFmtId="0" fontId="11" fillId="0" borderId="67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70" xfId="0" applyFont="1" applyBorder="1" applyAlignment="1">
      <alignment horizontal="center" vertical="center"/>
    </xf>
    <xf numFmtId="0" fontId="27" fillId="0" borderId="93" xfId="0" applyFont="1" applyBorder="1" applyAlignment="1">
      <alignment horizontal="center" vertical="center" wrapText="1"/>
    </xf>
    <xf numFmtId="0" fontId="27" fillId="0" borderId="102" xfId="0" applyFont="1" applyBorder="1" applyAlignment="1">
      <alignment horizontal="center" vertical="center" wrapText="1"/>
    </xf>
    <xf numFmtId="0" fontId="27" fillId="0" borderId="29" xfId="0" applyFont="1" applyBorder="1" applyAlignment="1">
      <alignment horizontal="center" vertical="center" wrapText="1"/>
    </xf>
    <xf numFmtId="0" fontId="27" fillId="0" borderId="87" xfId="0" applyFont="1" applyBorder="1" applyAlignment="1">
      <alignment horizontal="center" vertical="center" wrapText="1"/>
    </xf>
    <xf numFmtId="0" fontId="27" fillId="0" borderId="94" xfId="0" applyFont="1" applyBorder="1" applyAlignment="1">
      <alignment horizontal="center" vertical="center" wrapText="1"/>
    </xf>
    <xf numFmtId="0" fontId="27" fillId="0" borderId="66" xfId="0" applyFont="1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40" fillId="0" borderId="45" xfId="0" applyFont="1" applyBorder="1" applyAlignment="1">
      <alignment horizontal="center" vertical="center" wrapText="1"/>
    </xf>
    <xf numFmtId="0" fontId="40" fillId="0" borderId="36" xfId="0" applyFont="1" applyBorder="1" applyAlignment="1">
      <alignment horizontal="center" vertical="center" wrapText="1"/>
    </xf>
    <xf numFmtId="0" fontId="0" fillId="0" borderId="102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87" xfId="0" applyBorder="1" applyAlignment="1">
      <alignment horizontal="center" vertical="center" wrapText="1"/>
    </xf>
    <xf numFmtId="0" fontId="9" fillId="3" borderId="5" xfId="2" applyFont="1" applyFill="1" applyBorder="1" applyAlignment="1">
      <alignment horizontal="center" vertical="center" shrinkToFit="1"/>
    </xf>
    <xf numFmtId="0" fontId="0" fillId="0" borderId="59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9" fillId="3" borderId="45" xfId="2" applyFont="1" applyFill="1" applyBorder="1" applyAlignment="1">
      <alignment horizontal="center" vertical="center" shrinkToFit="1"/>
    </xf>
    <xf numFmtId="0" fontId="9" fillId="3" borderId="47" xfId="2" applyFont="1" applyFill="1" applyBorder="1" applyAlignment="1">
      <alignment horizontal="center" vertical="center" shrinkToFit="1"/>
    </xf>
    <xf numFmtId="0" fontId="9" fillId="3" borderId="36" xfId="2" applyFont="1" applyFill="1" applyBorder="1" applyAlignment="1">
      <alignment horizontal="center" vertical="center" shrinkToFit="1"/>
    </xf>
    <xf numFmtId="0" fontId="10" fillId="6" borderId="3" xfId="2" applyFont="1" applyFill="1" applyBorder="1" applyAlignment="1">
      <alignment horizontal="center" vertical="center" shrinkToFit="1"/>
    </xf>
    <xf numFmtId="0" fontId="10" fillId="6" borderId="45" xfId="2" applyFont="1" applyFill="1" applyBorder="1" applyAlignment="1">
      <alignment horizontal="center" vertical="center" shrinkToFit="1"/>
    </xf>
    <xf numFmtId="0" fontId="10" fillId="6" borderId="47" xfId="2" applyFont="1" applyFill="1" applyBorder="1" applyAlignment="1">
      <alignment horizontal="center" vertical="center" shrinkToFit="1"/>
    </xf>
    <xf numFmtId="0" fontId="10" fillId="6" borderId="90" xfId="2" applyFont="1" applyFill="1" applyBorder="1" applyAlignment="1">
      <alignment horizontal="center" vertical="center" shrinkToFit="1"/>
    </xf>
    <xf numFmtId="0" fontId="37" fillId="0" borderId="122" xfId="0" applyFont="1" applyBorder="1" applyAlignment="1">
      <alignment horizontal="center" vertical="center"/>
    </xf>
    <xf numFmtId="0" fontId="37" fillId="0" borderId="34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9" fillId="3" borderId="65" xfId="2" applyFont="1" applyFill="1" applyBorder="1" applyAlignment="1">
      <alignment horizontal="center" vertical="center" shrinkToFit="1"/>
    </xf>
    <xf numFmtId="0" fontId="16" fillId="11" borderId="113" xfId="2" applyFont="1" applyFill="1" applyBorder="1" applyAlignment="1">
      <alignment horizontal="center" vertical="center"/>
    </xf>
    <xf numFmtId="0" fontId="16" fillId="11" borderId="114" xfId="2" applyFont="1" applyFill="1" applyBorder="1" applyAlignment="1">
      <alignment horizontal="center" vertical="center"/>
    </xf>
    <xf numFmtId="0" fontId="16" fillId="11" borderId="115" xfId="2" applyFont="1" applyFill="1" applyBorder="1" applyAlignment="1">
      <alignment horizontal="center" vertical="center"/>
    </xf>
    <xf numFmtId="0" fontId="16" fillId="11" borderId="116" xfId="2" applyFont="1" applyFill="1" applyBorder="1" applyAlignment="1">
      <alignment horizontal="center" vertical="center"/>
    </xf>
    <xf numFmtId="0" fontId="44" fillId="6" borderId="90" xfId="0" applyFont="1" applyFill="1" applyBorder="1" applyAlignment="1">
      <alignment horizontal="center" vertical="center"/>
    </xf>
    <xf numFmtId="0" fontId="11" fillId="0" borderId="98" xfId="0" applyFont="1" applyBorder="1" applyAlignment="1">
      <alignment horizontal="center" vertical="center"/>
    </xf>
    <xf numFmtId="0" fontId="11" fillId="0" borderId="42" xfId="0" applyFont="1" applyBorder="1" applyAlignment="1">
      <alignment horizontal="center" vertical="center"/>
    </xf>
    <xf numFmtId="0" fontId="11" fillId="0" borderId="99" xfId="0" applyFont="1" applyBorder="1" applyAlignment="1">
      <alignment horizontal="center" vertical="center"/>
    </xf>
    <xf numFmtId="0" fontId="5" fillId="0" borderId="90" xfId="0" applyFont="1" applyBorder="1" applyAlignment="1">
      <alignment horizontal="center" vertical="center"/>
    </xf>
    <xf numFmtId="0" fontId="12" fillId="0" borderId="207" xfId="2" applyFont="1" applyBorder="1" applyAlignment="1">
      <alignment horizontal="center" vertical="center" wrapText="1"/>
    </xf>
    <xf numFmtId="0" fontId="12" fillId="0" borderId="208" xfId="2" applyFont="1" applyBorder="1" applyAlignment="1">
      <alignment horizontal="center" vertical="center" wrapText="1"/>
    </xf>
    <xf numFmtId="0" fontId="44" fillId="6" borderId="16" xfId="0" applyFont="1" applyFill="1" applyBorder="1" applyAlignment="1">
      <alignment horizontal="center" vertical="center"/>
    </xf>
    <xf numFmtId="0" fontId="44" fillId="6" borderId="38" xfId="0" applyFont="1" applyFill="1" applyBorder="1" applyAlignment="1">
      <alignment horizontal="center" vertical="center"/>
    </xf>
    <xf numFmtId="0" fontId="44" fillId="6" borderId="83" xfId="0" applyFont="1" applyFill="1" applyBorder="1" applyAlignment="1">
      <alignment horizontal="center" vertical="center"/>
    </xf>
    <xf numFmtId="0" fontId="11" fillId="0" borderId="124" xfId="0" applyFont="1" applyBorder="1" applyAlignment="1">
      <alignment horizontal="center" vertical="center"/>
    </xf>
    <xf numFmtId="0" fontId="9" fillId="2" borderId="43" xfId="2" applyFont="1" applyFill="1" applyBorder="1" applyAlignment="1">
      <alignment horizontal="center" vertical="center" shrinkToFit="1"/>
    </xf>
    <xf numFmtId="0" fontId="9" fillId="2" borderId="41" xfId="2" applyFont="1" applyFill="1" applyBorder="1" applyAlignment="1">
      <alignment horizontal="center" vertical="center" shrinkToFit="1"/>
    </xf>
    <xf numFmtId="3" fontId="11" fillId="0" borderId="98" xfId="0" applyNumberFormat="1" applyFont="1" applyBorder="1" applyAlignment="1">
      <alignment horizontal="center" vertical="center"/>
    </xf>
    <xf numFmtId="3" fontId="11" fillId="0" borderId="99" xfId="0" applyNumberFormat="1" applyFont="1" applyBorder="1" applyAlignment="1">
      <alignment horizontal="center" vertical="center"/>
    </xf>
    <xf numFmtId="0" fontId="9" fillId="3" borderId="62" xfId="2" applyFont="1" applyFill="1" applyBorder="1" applyAlignment="1">
      <alignment horizontal="center" vertical="center" shrinkToFit="1"/>
    </xf>
    <xf numFmtId="0" fontId="44" fillId="6" borderId="50" xfId="0" applyFont="1" applyFill="1" applyBorder="1" applyAlignment="1">
      <alignment horizontal="center" vertical="center"/>
    </xf>
    <xf numFmtId="0" fontId="44" fillId="6" borderId="74" xfId="0" applyFont="1" applyFill="1" applyBorder="1" applyAlignment="1">
      <alignment horizontal="center" vertical="center"/>
    </xf>
    <xf numFmtId="0" fontId="10" fillId="6" borderId="62" xfId="2" applyFont="1" applyFill="1" applyBorder="1" applyAlignment="1">
      <alignment horizontal="center" vertical="center" shrinkToFit="1"/>
    </xf>
    <xf numFmtId="0" fontId="10" fillId="6" borderId="1" xfId="2" applyFont="1" applyFill="1" applyBorder="1" applyAlignment="1">
      <alignment horizontal="center" vertical="center" shrinkToFit="1"/>
    </xf>
    <xf numFmtId="0" fontId="10" fillId="6" borderId="68" xfId="2" applyFont="1" applyFill="1" applyBorder="1" applyAlignment="1">
      <alignment horizontal="center" vertical="center" shrinkToFit="1"/>
    </xf>
    <xf numFmtId="0" fontId="9" fillId="3" borderId="59" xfId="2" applyFont="1" applyFill="1" applyBorder="1" applyAlignment="1">
      <alignment horizontal="center" vertical="center" shrinkToFit="1"/>
    </xf>
    <xf numFmtId="0" fontId="11" fillId="0" borderId="102" xfId="0" applyFont="1" applyBorder="1" applyAlignment="1">
      <alignment horizontal="center" vertical="center"/>
    </xf>
    <xf numFmtId="0" fontId="11" fillId="0" borderId="87" xfId="0" applyFont="1" applyBorder="1" applyAlignment="1">
      <alignment horizontal="center" vertical="center"/>
    </xf>
    <xf numFmtId="0" fontId="10" fillId="6" borderId="36" xfId="2" applyFont="1" applyFill="1" applyBorder="1" applyAlignment="1">
      <alignment horizontal="center" vertical="center" shrinkToFit="1"/>
    </xf>
    <xf numFmtId="0" fontId="44" fillId="6" borderId="118" xfId="0" applyFont="1" applyFill="1" applyBorder="1" applyAlignment="1">
      <alignment horizontal="center" vertical="center"/>
    </xf>
    <xf numFmtId="0" fontId="8" fillId="0" borderId="1" xfId="2" applyFont="1" applyBorder="1" applyAlignment="1">
      <alignment horizontal="center"/>
    </xf>
    <xf numFmtId="0" fontId="9" fillId="2" borderId="79" xfId="2" applyFont="1" applyFill="1" applyBorder="1" applyAlignment="1">
      <alignment horizontal="center" vertical="center" shrinkToFit="1"/>
    </xf>
    <xf numFmtId="0" fontId="9" fillId="2" borderId="52" xfId="2" applyFont="1" applyFill="1" applyBorder="1" applyAlignment="1">
      <alignment horizontal="center" vertical="center" shrinkToFit="1"/>
    </xf>
    <xf numFmtId="0" fontId="8" fillId="0" borderId="104" xfId="2" applyFont="1" applyBorder="1" applyAlignment="1">
      <alignment horizontal="center" shrinkToFit="1"/>
    </xf>
    <xf numFmtId="0" fontId="7" fillId="0" borderId="103" xfId="2" applyFont="1" applyBorder="1" applyAlignment="1">
      <alignment horizontal="center" vertical="center"/>
    </xf>
    <xf numFmtId="0" fontId="7" fillId="0" borderId="104" xfId="2" applyFont="1" applyBorder="1" applyAlignment="1">
      <alignment horizontal="center" vertical="center"/>
    </xf>
    <xf numFmtId="0" fontId="7" fillId="0" borderId="105" xfId="2" applyFont="1" applyBorder="1" applyAlignment="1">
      <alignment horizontal="center" vertical="center"/>
    </xf>
    <xf numFmtId="0" fontId="2" fillId="0" borderId="1" xfId="2" applyBorder="1" applyAlignment="1">
      <alignment horizontal="center" wrapText="1"/>
    </xf>
    <xf numFmtId="0" fontId="13" fillId="0" borderId="0" xfId="2" applyFont="1" applyAlignment="1">
      <alignment horizontal="center" vertical="center"/>
    </xf>
    <xf numFmtId="0" fontId="56" fillId="0" borderId="8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11" fillId="0" borderId="5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0" fillId="6" borderId="50" xfId="2" applyFont="1" applyFill="1" applyBorder="1" applyAlignment="1">
      <alignment horizontal="center" vertical="center" shrinkToFit="1"/>
    </xf>
    <xf numFmtId="0" fontId="10" fillId="6" borderId="74" xfId="2" applyFont="1" applyFill="1" applyBorder="1" applyAlignment="1">
      <alignment horizontal="center" vertical="center" shrinkToFit="1"/>
    </xf>
    <xf numFmtId="0" fontId="10" fillId="6" borderId="118" xfId="2" applyFont="1" applyFill="1" applyBorder="1" applyAlignment="1">
      <alignment horizontal="center" vertical="center" shrinkToFit="1"/>
    </xf>
    <xf numFmtId="0" fontId="10" fillId="6" borderId="186" xfId="2" applyFont="1" applyFill="1" applyBorder="1" applyAlignment="1">
      <alignment horizontal="center" vertical="center" shrinkToFit="1"/>
    </xf>
    <xf numFmtId="0" fontId="12" fillId="0" borderId="93" xfId="2" applyFont="1" applyBorder="1" applyAlignment="1">
      <alignment horizontal="center" vertical="center"/>
    </xf>
    <xf numFmtId="0" fontId="12" fillId="0" borderId="67" xfId="2" applyFont="1" applyBorder="1" applyAlignment="1">
      <alignment horizontal="center" vertical="center"/>
    </xf>
    <xf numFmtId="0" fontId="12" fillId="0" borderId="94" xfId="2" applyFont="1" applyBorder="1" applyAlignment="1">
      <alignment horizontal="center" vertical="center"/>
    </xf>
    <xf numFmtId="0" fontId="12" fillId="0" borderId="68" xfId="2" applyFont="1" applyBorder="1" applyAlignment="1">
      <alignment horizontal="center" vertical="center"/>
    </xf>
    <xf numFmtId="0" fontId="15" fillId="11" borderId="67" xfId="2" applyFont="1" applyFill="1" applyBorder="1" applyAlignment="1">
      <alignment horizontal="center" vertical="center"/>
    </xf>
    <xf numFmtId="0" fontId="15" fillId="11" borderId="94" xfId="2" applyFont="1" applyFill="1" applyBorder="1" applyAlignment="1">
      <alignment horizontal="center" vertical="center"/>
    </xf>
    <xf numFmtId="0" fontId="15" fillId="11" borderId="68" xfId="2" applyFont="1" applyFill="1" applyBorder="1" applyAlignment="1">
      <alignment horizontal="center" vertical="center"/>
    </xf>
    <xf numFmtId="0" fontId="2" fillId="0" borderId="94" xfId="2" applyBorder="1" applyAlignment="1">
      <alignment horizontal="center" vertical="center" wrapText="1"/>
    </xf>
    <xf numFmtId="0" fontId="10" fillId="6" borderId="17" xfId="2" applyFont="1" applyFill="1" applyBorder="1" applyAlignment="1">
      <alignment horizontal="center" vertical="center" shrinkToFit="1"/>
    </xf>
    <xf numFmtId="0" fontId="10" fillId="6" borderId="49" xfId="2" applyFont="1" applyFill="1" applyBorder="1" applyAlignment="1">
      <alignment horizontal="center" vertical="center" shrinkToFit="1"/>
    </xf>
    <xf numFmtId="0" fontId="10" fillId="6" borderId="33" xfId="2" applyFont="1" applyFill="1" applyBorder="1" applyAlignment="1">
      <alignment horizontal="center" vertical="center" shrinkToFit="1"/>
    </xf>
    <xf numFmtId="0" fontId="10" fillId="6" borderId="39" xfId="2" applyFont="1" applyFill="1" applyBorder="1" applyAlignment="1">
      <alignment horizontal="center" vertical="center" shrinkToFit="1"/>
    </xf>
    <xf numFmtId="0" fontId="10" fillId="6" borderId="14" xfId="2" applyFont="1" applyFill="1" applyBorder="1" applyAlignment="1">
      <alignment horizontal="center" vertical="center" shrinkToFit="1"/>
    </xf>
    <xf numFmtId="0" fontId="10" fillId="6" borderId="227" xfId="2" applyFont="1" applyFill="1" applyBorder="1" applyAlignment="1">
      <alignment horizontal="center" vertical="center" shrinkToFit="1"/>
    </xf>
    <xf numFmtId="0" fontId="44" fillId="0" borderId="120" xfId="0" applyFont="1" applyBorder="1" applyAlignment="1">
      <alignment horizontal="center" vertical="center"/>
    </xf>
    <xf numFmtId="0" fontId="44" fillId="0" borderId="165" xfId="0" applyFont="1" applyBorder="1" applyAlignment="1">
      <alignment horizontal="center" vertical="center"/>
    </xf>
    <xf numFmtId="0" fontId="44" fillId="0" borderId="121" xfId="0" applyFont="1" applyBorder="1" applyAlignment="1">
      <alignment horizontal="center" vertical="center"/>
    </xf>
    <xf numFmtId="0" fontId="10" fillId="6" borderId="59" xfId="2" applyFont="1" applyFill="1" applyBorder="1" applyAlignment="1">
      <alignment horizontal="center" vertical="center" shrinkToFit="1"/>
    </xf>
    <xf numFmtId="0" fontId="10" fillId="6" borderId="44" xfId="2" applyFont="1" applyFill="1" applyBorder="1" applyAlignment="1">
      <alignment horizontal="center" vertical="center" shrinkToFit="1"/>
    </xf>
    <xf numFmtId="38" fontId="0" fillId="0" borderId="45" xfId="1" applyFont="1" applyBorder="1" applyAlignment="1">
      <alignment horizontal="center" vertical="center"/>
    </xf>
    <xf numFmtId="38" fontId="0" fillId="0" borderId="47" xfId="1" applyFont="1" applyBorder="1" applyAlignment="1">
      <alignment horizontal="center" vertical="center"/>
    </xf>
    <xf numFmtId="38" fontId="0" fillId="0" borderId="36" xfId="1" applyFont="1" applyBorder="1" applyAlignment="1">
      <alignment horizontal="center" vertical="center"/>
    </xf>
    <xf numFmtId="38" fontId="0" fillId="0" borderId="174" xfId="1" applyFont="1" applyBorder="1" applyAlignment="1">
      <alignment horizontal="center" vertical="center"/>
    </xf>
    <xf numFmtId="38" fontId="0" fillId="0" borderId="175" xfId="1" applyFont="1" applyBorder="1" applyAlignment="1">
      <alignment horizontal="center" vertical="center"/>
    </xf>
    <xf numFmtId="38" fontId="0" fillId="0" borderId="176" xfId="1" applyFont="1" applyBorder="1" applyAlignment="1">
      <alignment horizontal="center" vertical="center"/>
    </xf>
    <xf numFmtId="0" fontId="0" fillId="12" borderId="3" xfId="0" applyFill="1" applyBorder="1" applyAlignment="1">
      <alignment horizontal="center" vertical="center"/>
    </xf>
    <xf numFmtId="0" fontId="0" fillId="0" borderId="0" xfId="3" applyFont="1" applyAlignment="1">
      <alignment horizontal="left" vertical="center" wrapText="1"/>
    </xf>
  </cellXfs>
  <cellStyles count="6">
    <cellStyle name="ハイパーリンク" xfId="5" builtinId="8"/>
    <cellStyle name="桁区切り" xfId="1" builtinId="6"/>
    <cellStyle name="標準" xfId="0" builtinId="0"/>
    <cellStyle name="標準 2" xfId="2" xr:uid="{00000000-0005-0000-0000-000002000000}"/>
    <cellStyle name="標準 3" xfId="3" xr:uid="{00000000-0005-0000-0000-000003000000}"/>
    <cellStyle name="標準 4" xfId="4" xr:uid="{00000000-0005-0000-0000-000004000000}"/>
  </cellStyles>
  <dxfs count="5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FFCCFF"/>
      <color rgb="FFCCFFFF"/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76200</xdr:colOff>
      <xdr:row>0</xdr:row>
      <xdr:rowOff>180975</xdr:rowOff>
    </xdr:from>
    <xdr:to>
      <xdr:col>16</xdr:col>
      <xdr:colOff>742950</xdr:colOff>
      <xdr:row>0</xdr:row>
      <xdr:rowOff>314325</xdr:rowOff>
    </xdr:to>
    <xdr:cxnSp macro="">
      <xdr:nvCxnSpPr>
        <xdr:cNvPr id="28" name="カギ線コネクタ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CxnSpPr/>
      </xdr:nvCxnSpPr>
      <xdr:spPr>
        <a:xfrm flipV="1">
          <a:off x="10839450" y="180975"/>
          <a:ext cx="666750" cy="133350"/>
        </a:xfrm>
        <a:prstGeom prst="bentConnector3">
          <a:avLst>
            <a:gd name="adj1" fmla="val 0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209550</xdr:colOff>
      <xdr:row>0</xdr:row>
      <xdr:rowOff>209551</xdr:rowOff>
    </xdr:from>
    <xdr:to>
      <xdr:col>22</xdr:col>
      <xdr:colOff>419102</xdr:colOff>
      <xdr:row>0</xdr:row>
      <xdr:rowOff>333378</xdr:rowOff>
    </xdr:to>
    <xdr:cxnSp macro="">
      <xdr:nvCxnSpPr>
        <xdr:cNvPr id="34" name="カギ線コネクタ 3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CxnSpPr/>
      </xdr:nvCxnSpPr>
      <xdr:spPr>
        <a:xfrm rot="10800000">
          <a:off x="12534900" y="209551"/>
          <a:ext cx="685802" cy="123827"/>
        </a:xfrm>
        <a:prstGeom prst="bentConnector3">
          <a:avLst>
            <a:gd name="adj1" fmla="val 0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57150</xdr:colOff>
      <xdr:row>0</xdr:row>
      <xdr:rowOff>180975</xdr:rowOff>
    </xdr:from>
    <xdr:to>
      <xdr:col>26</xdr:col>
      <xdr:colOff>443490</xdr:colOff>
      <xdr:row>0</xdr:row>
      <xdr:rowOff>295276</xdr:rowOff>
    </xdr:to>
    <xdr:cxnSp macro="">
      <xdr:nvCxnSpPr>
        <xdr:cNvPr id="42" name="カギ線コネクタ 41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CxnSpPr/>
      </xdr:nvCxnSpPr>
      <xdr:spPr>
        <a:xfrm flipV="1">
          <a:off x="10763250" y="180975"/>
          <a:ext cx="1476000" cy="114301"/>
        </a:xfrm>
        <a:prstGeom prst="bentConnector3">
          <a:avLst>
            <a:gd name="adj1" fmla="val 1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57</xdr:col>
      <xdr:colOff>638175</xdr:colOff>
      <xdr:row>0</xdr:row>
      <xdr:rowOff>190502</xdr:rowOff>
    </xdr:from>
    <xdr:to>
      <xdr:col>58</xdr:col>
      <xdr:colOff>1447800</xdr:colOff>
      <xdr:row>0</xdr:row>
      <xdr:rowOff>304801</xdr:rowOff>
    </xdr:to>
    <xdr:cxnSp macro="">
      <xdr:nvCxnSpPr>
        <xdr:cNvPr id="43" name="カギ線コネクタ 42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CxnSpPr/>
      </xdr:nvCxnSpPr>
      <xdr:spPr>
        <a:xfrm rot="10800000">
          <a:off x="21355050" y="190502"/>
          <a:ext cx="2076450" cy="114299"/>
        </a:xfrm>
        <a:prstGeom prst="bentConnector3">
          <a:avLst>
            <a:gd name="adj1" fmla="val 0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114300</xdr:colOff>
      <xdr:row>0</xdr:row>
      <xdr:rowOff>180975</xdr:rowOff>
    </xdr:from>
    <xdr:to>
      <xdr:col>9</xdr:col>
      <xdr:colOff>510300</xdr:colOff>
      <xdr:row>0</xdr:row>
      <xdr:rowOff>295275</xdr:rowOff>
    </xdr:to>
    <xdr:cxnSp macro="">
      <xdr:nvCxnSpPr>
        <xdr:cNvPr id="9" name="カギ線コネクタ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CxnSpPr/>
      </xdr:nvCxnSpPr>
      <xdr:spPr>
        <a:xfrm flipV="1">
          <a:off x="5478780" y="180975"/>
          <a:ext cx="396000" cy="114300"/>
        </a:xfrm>
        <a:prstGeom prst="bentConnector3">
          <a:avLst>
            <a:gd name="adj1" fmla="val -757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13772</xdr:colOff>
      <xdr:row>0</xdr:row>
      <xdr:rowOff>171450</xdr:rowOff>
    </xdr:from>
    <xdr:to>
      <xdr:col>12</xdr:col>
      <xdr:colOff>445772</xdr:colOff>
      <xdr:row>0</xdr:row>
      <xdr:rowOff>276228</xdr:rowOff>
    </xdr:to>
    <xdr:cxnSp macro="">
      <xdr:nvCxnSpPr>
        <xdr:cNvPr id="10" name="カギ線コネクタ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 rot="10800000">
          <a:off x="6909872" y="171450"/>
          <a:ext cx="432000" cy="104778"/>
        </a:xfrm>
        <a:prstGeom prst="bentConnector3">
          <a:avLst>
            <a:gd name="adj1" fmla="val 0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60960</xdr:colOff>
      <xdr:row>0</xdr:row>
      <xdr:rowOff>167640</xdr:rowOff>
    </xdr:from>
    <xdr:to>
      <xdr:col>36</xdr:col>
      <xdr:colOff>438120</xdr:colOff>
      <xdr:row>0</xdr:row>
      <xdr:rowOff>281941</xdr:rowOff>
    </xdr:to>
    <xdr:cxnSp macro="">
      <xdr:nvCxnSpPr>
        <xdr:cNvPr id="2" name="カギ線コネクタ 41">
          <a:extLst>
            <a:ext uri="{FF2B5EF4-FFF2-40B4-BE49-F238E27FC236}">
              <a16:creationId xmlns:a16="http://schemas.microsoft.com/office/drawing/2014/main" id="{8BDDD067-D5C5-4FA5-BB56-218E3DBED5D9}"/>
            </a:ext>
          </a:extLst>
        </xdr:cNvPr>
        <xdr:cNvCxnSpPr/>
      </xdr:nvCxnSpPr>
      <xdr:spPr>
        <a:xfrm flipH="1" flipV="1">
          <a:off x="15727680" y="167640"/>
          <a:ext cx="1764000" cy="114301"/>
        </a:xfrm>
        <a:prstGeom prst="bentConnector3">
          <a:avLst>
            <a:gd name="adj1" fmla="val 1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56</xdr:col>
      <xdr:colOff>30480</xdr:colOff>
      <xdr:row>0</xdr:row>
      <xdr:rowOff>190500</xdr:rowOff>
    </xdr:from>
    <xdr:to>
      <xdr:col>56</xdr:col>
      <xdr:colOff>894480</xdr:colOff>
      <xdr:row>0</xdr:row>
      <xdr:rowOff>304801</xdr:rowOff>
    </xdr:to>
    <xdr:cxnSp macro="">
      <xdr:nvCxnSpPr>
        <xdr:cNvPr id="4" name="カギ線コネクタ 41">
          <a:extLst>
            <a:ext uri="{FF2B5EF4-FFF2-40B4-BE49-F238E27FC236}">
              <a16:creationId xmlns:a16="http://schemas.microsoft.com/office/drawing/2014/main" id="{15AF0AF5-C04D-451C-957F-788CAF07F8CC}"/>
            </a:ext>
          </a:extLst>
        </xdr:cNvPr>
        <xdr:cNvCxnSpPr/>
      </xdr:nvCxnSpPr>
      <xdr:spPr>
        <a:xfrm flipH="1" flipV="1">
          <a:off x="21023580" y="190500"/>
          <a:ext cx="864000" cy="114301"/>
        </a:xfrm>
        <a:prstGeom prst="bentConnector3">
          <a:avLst>
            <a:gd name="adj1" fmla="val 1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83820</xdr:colOff>
      <xdr:row>0</xdr:row>
      <xdr:rowOff>198120</xdr:rowOff>
    </xdr:from>
    <xdr:to>
      <xdr:col>46</xdr:col>
      <xdr:colOff>41880</xdr:colOff>
      <xdr:row>0</xdr:row>
      <xdr:rowOff>312421</xdr:rowOff>
    </xdr:to>
    <xdr:cxnSp macro="">
      <xdr:nvCxnSpPr>
        <xdr:cNvPr id="5" name="カギ線コネクタ 41">
          <a:extLst>
            <a:ext uri="{FF2B5EF4-FFF2-40B4-BE49-F238E27FC236}">
              <a16:creationId xmlns:a16="http://schemas.microsoft.com/office/drawing/2014/main" id="{00CE1F57-4900-444C-9AB4-5629A2BE2EC9}"/>
            </a:ext>
          </a:extLst>
        </xdr:cNvPr>
        <xdr:cNvCxnSpPr/>
      </xdr:nvCxnSpPr>
      <xdr:spPr>
        <a:xfrm flipV="1">
          <a:off x="20558760" y="198120"/>
          <a:ext cx="1764000" cy="114301"/>
        </a:xfrm>
        <a:prstGeom prst="bentConnector3">
          <a:avLst>
            <a:gd name="adj1" fmla="val 1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548640</xdr:colOff>
      <xdr:row>0</xdr:row>
      <xdr:rowOff>205740</xdr:rowOff>
    </xdr:from>
    <xdr:to>
      <xdr:col>49</xdr:col>
      <xdr:colOff>552900</xdr:colOff>
      <xdr:row>0</xdr:row>
      <xdr:rowOff>320041</xdr:rowOff>
    </xdr:to>
    <xdr:cxnSp macro="">
      <xdr:nvCxnSpPr>
        <xdr:cNvPr id="7" name="カギ線コネクタ 41">
          <a:extLst>
            <a:ext uri="{FF2B5EF4-FFF2-40B4-BE49-F238E27FC236}">
              <a16:creationId xmlns:a16="http://schemas.microsoft.com/office/drawing/2014/main" id="{76A3FCCC-92D3-484C-9EFC-BC0FB7A6E91B}"/>
            </a:ext>
          </a:extLst>
        </xdr:cNvPr>
        <xdr:cNvCxnSpPr/>
      </xdr:nvCxnSpPr>
      <xdr:spPr>
        <a:xfrm flipH="1" flipV="1">
          <a:off x="23431500" y="205740"/>
          <a:ext cx="972000" cy="114301"/>
        </a:xfrm>
        <a:prstGeom prst="bentConnector3">
          <a:avLst>
            <a:gd name="adj1" fmla="val 1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110</xdr:row>
      <xdr:rowOff>19049</xdr:rowOff>
    </xdr:from>
    <xdr:to>
      <xdr:col>7</xdr:col>
      <xdr:colOff>247650</xdr:colOff>
      <xdr:row>118</xdr:row>
      <xdr:rowOff>85724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29E9646D-5715-1AB3-6030-7C803D92BD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2621874"/>
          <a:ext cx="3952875" cy="2581275"/>
        </a:xfrm>
        <a:prstGeom prst="rect">
          <a:avLst/>
        </a:prstGeom>
      </xdr:spPr>
    </xdr:pic>
    <xdr:clientData/>
  </xdr:twoCellAnchor>
  <xdr:twoCellAnchor editAs="oneCell">
    <xdr:from>
      <xdr:col>16</xdr:col>
      <xdr:colOff>402359</xdr:colOff>
      <xdr:row>154</xdr:row>
      <xdr:rowOff>24534</xdr:rowOff>
    </xdr:from>
    <xdr:to>
      <xdr:col>30</xdr:col>
      <xdr:colOff>56981</xdr:colOff>
      <xdr:row>156</xdr:row>
      <xdr:rowOff>46759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BBB82B20-05EA-F36A-3141-2D9D219369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965209" y="31533234"/>
          <a:ext cx="5474397" cy="650875"/>
        </a:xfrm>
        <a:prstGeom prst="rect">
          <a:avLst/>
        </a:prstGeom>
      </xdr:spPr>
    </xdr:pic>
    <xdr:clientData/>
  </xdr:twoCellAnchor>
  <xdr:twoCellAnchor editAs="oneCell">
    <xdr:from>
      <xdr:col>7</xdr:col>
      <xdr:colOff>381000</xdr:colOff>
      <xdr:row>132</xdr:row>
      <xdr:rowOff>304800</xdr:rowOff>
    </xdr:from>
    <xdr:to>
      <xdr:col>17</xdr:col>
      <xdr:colOff>47625</xdr:colOff>
      <xdr:row>138</xdr:row>
      <xdr:rowOff>200025</xdr:rowOff>
    </xdr:to>
    <xdr:pic>
      <xdr:nvPicPr>
        <xdr:cNvPr id="8" name="図 7">
          <a:extLst>
            <a:ext uri="{FF2B5EF4-FFF2-40B4-BE49-F238E27FC236}">
              <a16:creationId xmlns:a16="http://schemas.microsoft.com/office/drawing/2014/main" id="{60EE3FEC-2704-47E6-89D4-55D72ABF1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86225" y="29194125"/>
          <a:ext cx="3952875" cy="838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0000"/>
    <pageSetUpPr fitToPage="1"/>
  </sheetPr>
  <dimension ref="A1:R69"/>
  <sheetViews>
    <sheetView topLeftCell="A51" zoomScaleNormal="100" workbookViewId="0"/>
  </sheetViews>
  <sheetFormatPr defaultColWidth="9" defaultRowHeight="13.5" x14ac:dyDescent="0.15"/>
  <cols>
    <col min="1" max="1" width="4.125" style="130" bestFit="1" customWidth="1"/>
    <col min="2" max="2" width="24" style="130" customWidth="1"/>
    <col min="3" max="16384" width="9" style="130"/>
  </cols>
  <sheetData>
    <row r="1" spans="2:18" s="120" customFormat="1" ht="33.75" customHeight="1" x14ac:dyDescent="0.15">
      <c r="B1" s="803" t="s">
        <v>321</v>
      </c>
      <c r="C1" s="803"/>
      <c r="D1" s="803"/>
      <c r="E1" s="803"/>
      <c r="F1" s="803"/>
      <c r="G1" s="803"/>
      <c r="H1" s="803"/>
      <c r="I1" s="803"/>
      <c r="J1" s="803"/>
      <c r="K1" s="803"/>
      <c r="L1" s="803"/>
      <c r="M1" s="803"/>
      <c r="N1" s="803"/>
      <c r="O1" s="121"/>
      <c r="P1" s="121"/>
      <c r="Q1" s="121"/>
      <c r="R1" s="121"/>
    </row>
    <row r="2" spans="2:18" s="120" customFormat="1" ht="33.75" customHeight="1" thickBot="1" x14ac:dyDescent="0.2">
      <c r="B2" s="122" t="s">
        <v>322</v>
      </c>
      <c r="C2" s="123" t="s">
        <v>323</v>
      </c>
      <c r="E2" s="124"/>
      <c r="F2" s="124"/>
      <c r="G2" s="820" t="s">
        <v>1164</v>
      </c>
      <c r="H2" s="820"/>
      <c r="I2" s="820"/>
      <c r="J2" s="820"/>
      <c r="K2" s="820"/>
      <c r="L2" s="820"/>
      <c r="M2" s="820"/>
      <c r="N2" s="820"/>
      <c r="O2" s="121"/>
      <c r="P2" s="121"/>
      <c r="Q2" s="121"/>
      <c r="R2" s="121"/>
    </row>
    <row r="3" spans="2:18" s="120" customFormat="1" ht="33.75" customHeight="1" x14ac:dyDescent="0.2">
      <c r="B3" s="125" t="s">
        <v>324</v>
      </c>
      <c r="C3" s="804"/>
      <c r="D3" s="805"/>
      <c r="E3" s="806"/>
      <c r="F3" s="126" t="s">
        <v>325</v>
      </c>
      <c r="G3" s="807"/>
      <c r="H3" s="808"/>
      <c r="I3" s="809"/>
      <c r="J3" s="181" t="s">
        <v>326</v>
      </c>
      <c r="K3" s="182"/>
      <c r="L3" s="182"/>
      <c r="M3" s="182"/>
      <c r="N3" s="183"/>
      <c r="O3" s="576"/>
      <c r="P3" s="121"/>
      <c r="Q3" s="121"/>
      <c r="R3" s="121"/>
    </row>
    <row r="4" spans="2:18" s="120" customFormat="1" ht="33.75" customHeight="1" x14ac:dyDescent="0.15">
      <c r="B4" s="127" t="s">
        <v>34</v>
      </c>
      <c r="C4" s="810"/>
      <c r="D4" s="811"/>
      <c r="E4" s="811"/>
      <c r="F4" s="811"/>
      <c r="G4" s="811"/>
      <c r="H4" s="811"/>
      <c r="I4" s="812"/>
      <c r="J4" s="799" t="s">
        <v>327</v>
      </c>
      <c r="K4" s="799"/>
      <c r="L4" s="813"/>
      <c r="M4" s="813"/>
      <c r="N4" s="814"/>
      <c r="O4" s="128"/>
      <c r="P4" s="121"/>
      <c r="Q4" s="121"/>
      <c r="R4" s="121"/>
    </row>
    <row r="5" spans="2:18" s="120" customFormat="1" ht="33.75" customHeight="1" x14ac:dyDescent="0.15">
      <c r="B5" s="127" t="s">
        <v>481</v>
      </c>
      <c r="C5" s="753"/>
      <c r="D5" s="753"/>
      <c r="E5" s="753"/>
      <c r="F5" s="799" t="s">
        <v>482</v>
      </c>
      <c r="G5" s="799"/>
      <c r="H5" s="821"/>
      <c r="I5" s="821"/>
      <c r="J5" s="821"/>
      <c r="K5" s="821"/>
      <c r="L5" s="821"/>
      <c r="M5" s="821"/>
      <c r="N5" s="822"/>
      <c r="R5" s="121"/>
    </row>
    <row r="6" spans="2:18" s="120" customFormat="1" ht="33.75" customHeight="1" x14ac:dyDescent="0.15">
      <c r="B6" s="127" t="s">
        <v>330</v>
      </c>
      <c r="C6" s="823"/>
      <c r="D6" s="811"/>
      <c r="E6" s="811"/>
      <c r="F6" s="811"/>
      <c r="G6" s="812"/>
      <c r="H6" s="799" t="s">
        <v>331</v>
      </c>
      <c r="I6" s="799"/>
      <c r="J6" s="817"/>
      <c r="K6" s="818"/>
      <c r="L6" s="818"/>
      <c r="M6" s="818"/>
      <c r="N6" s="819"/>
      <c r="P6" s="121"/>
      <c r="Q6" s="121"/>
      <c r="R6" s="121"/>
    </row>
    <row r="7" spans="2:18" s="120" customFormat="1" ht="33.75" customHeight="1" x14ac:dyDescent="0.15">
      <c r="B7" s="127" t="s">
        <v>348</v>
      </c>
      <c r="C7" s="755"/>
      <c r="D7" s="800"/>
      <c r="E7" s="800"/>
      <c r="F7" s="800"/>
      <c r="G7" s="756"/>
      <c r="H7" s="815" t="s">
        <v>349</v>
      </c>
      <c r="I7" s="816"/>
      <c r="J7" s="817"/>
      <c r="K7" s="818"/>
      <c r="L7" s="818"/>
      <c r="M7" s="818"/>
      <c r="N7" s="819"/>
      <c r="O7" s="121"/>
    </row>
    <row r="8" spans="2:18" s="120" customFormat="1" ht="28.5" x14ac:dyDescent="0.15">
      <c r="B8" s="129" t="s">
        <v>1165</v>
      </c>
      <c r="C8" s="752"/>
      <c r="D8" s="753"/>
      <c r="E8" s="753"/>
      <c r="F8" s="753"/>
      <c r="G8" s="753"/>
      <c r="H8" s="753"/>
      <c r="I8" s="753"/>
      <c r="J8" s="753"/>
      <c r="K8" s="753"/>
      <c r="L8" s="753"/>
      <c r="M8" s="753"/>
      <c r="N8" s="754"/>
      <c r="O8" s="121"/>
      <c r="P8" s="121"/>
      <c r="Q8" s="121"/>
      <c r="R8" s="121"/>
    </row>
    <row r="9" spans="2:18" s="120" customFormat="1" ht="28.5" x14ac:dyDescent="0.15">
      <c r="B9" s="129" t="s">
        <v>1166</v>
      </c>
      <c r="C9" s="752"/>
      <c r="D9" s="753"/>
      <c r="E9" s="753"/>
      <c r="F9" s="753"/>
      <c r="G9" s="753"/>
      <c r="H9" s="753"/>
      <c r="I9" s="753"/>
      <c r="J9" s="753"/>
      <c r="K9" s="753"/>
      <c r="L9" s="753"/>
      <c r="M9" s="753"/>
      <c r="N9" s="754"/>
      <c r="O9" s="121"/>
      <c r="P9" s="121"/>
      <c r="Q9" s="121"/>
      <c r="R9" s="121"/>
    </row>
    <row r="10" spans="2:18" s="120" customFormat="1" ht="33.75" customHeight="1" x14ac:dyDescent="0.15">
      <c r="B10" s="244" t="s">
        <v>474</v>
      </c>
      <c r="C10" s="755"/>
      <c r="D10" s="756"/>
      <c r="E10" s="757" t="s">
        <v>1167</v>
      </c>
      <c r="F10" s="757"/>
      <c r="G10" s="757"/>
      <c r="H10" s="757"/>
      <c r="I10" s="757"/>
      <c r="J10" s="757"/>
      <c r="K10" s="757"/>
      <c r="L10" s="757"/>
      <c r="M10" s="757"/>
      <c r="N10" s="758"/>
      <c r="O10" s="121"/>
      <c r="P10" s="121"/>
      <c r="Q10" s="121"/>
      <c r="R10" s="121"/>
    </row>
    <row r="11" spans="2:18" s="120" customFormat="1" ht="33.75" customHeight="1" x14ac:dyDescent="0.15">
      <c r="B11" s="793" t="s">
        <v>874</v>
      </c>
      <c r="C11" s="799" t="s">
        <v>332</v>
      </c>
      <c r="D11" s="799"/>
      <c r="E11" s="755"/>
      <c r="F11" s="800"/>
      <c r="G11" s="800"/>
      <c r="H11" s="756"/>
      <c r="I11" s="456"/>
      <c r="J11" s="456"/>
      <c r="K11" s="456"/>
      <c r="L11" s="456"/>
      <c r="M11" s="456"/>
      <c r="N11" s="457"/>
      <c r="O11" s="121"/>
      <c r="P11" s="121"/>
    </row>
    <row r="12" spans="2:18" s="120" customFormat="1" ht="33.75" customHeight="1" x14ac:dyDescent="0.15">
      <c r="B12" s="794"/>
      <c r="C12" s="799" t="s">
        <v>328</v>
      </c>
      <c r="D12" s="799"/>
      <c r="E12" s="801"/>
      <c r="F12" s="801"/>
      <c r="G12" s="801"/>
      <c r="H12" s="456"/>
      <c r="I12" s="456"/>
      <c r="J12" s="456"/>
      <c r="K12" s="456"/>
      <c r="L12" s="456"/>
      <c r="M12" s="456"/>
      <c r="N12" s="457"/>
      <c r="O12" s="121"/>
      <c r="P12" s="121"/>
    </row>
    <row r="13" spans="2:18" s="120" customFormat="1" ht="33.75" customHeight="1" thickBot="1" x14ac:dyDescent="0.2">
      <c r="B13" s="795"/>
      <c r="C13" s="802" t="s">
        <v>329</v>
      </c>
      <c r="D13" s="802"/>
      <c r="E13" s="796"/>
      <c r="F13" s="797"/>
      <c r="G13" s="797"/>
      <c r="H13" s="797"/>
      <c r="I13" s="797"/>
      <c r="J13" s="797"/>
      <c r="K13" s="797"/>
      <c r="L13" s="797"/>
      <c r="M13" s="797"/>
      <c r="N13" s="798"/>
      <c r="O13" s="121"/>
      <c r="P13" s="121"/>
    </row>
    <row r="14" spans="2:18" customFormat="1" ht="6" customHeight="1" thickBot="1" x14ac:dyDescent="0.2"/>
    <row r="15" spans="2:18" s="120" customFormat="1" ht="25.5" customHeight="1" x14ac:dyDescent="0.2">
      <c r="B15" s="771" t="s">
        <v>1169</v>
      </c>
      <c r="C15" s="772"/>
      <c r="D15" s="772"/>
      <c r="E15" s="772"/>
      <c r="F15" s="772"/>
      <c r="G15" s="772"/>
      <c r="H15" s="772"/>
      <c r="I15" s="772"/>
      <c r="J15" s="772"/>
      <c r="K15" s="772"/>
      <c r="L15" s="772"/>
      <c r="M15" s="772"/>
      <c r="N15" s="773"/>
      <c r="O15" s="121"/>
      <c r="P15" s="121"/>
    </row>
    <row r="16" spans="2:18" s="120" customFormat="1" ht="33.75" customHeight="1" x14ac:dyDescent="0.15">
      <c r="B16" s="774" t="s">
        <v>1168</v>
      </c>
      <c r="C16" s="775"/>
      <c r="D16" s="775"/>
      <c r="E16" s="775"/>
      <c r="F16" s="775"/>
      <c r="G16" s="775"/>
      <c r="H16" s="775"/>
      <c r="I16" s="775"/>
      <c r="J16" s="775"/>
      <c r="K16" s="775"/>
      <c r="L16" s="775"/>
      <c r="M16" s="775"/>
      <c r="N16" s="776"/>
      <c r="O16" s="121"/>
      <c r="P16" s="121"/>
    </row>
    <row r="17" spans="1:14" customFormat="1" ht="33.75" customHeight="1" thickBot="1" x14ac:dyDescent="0.2">
      <c r="B17" s="461" t="s">
        <v>667</v>
      </c>
      <c r="C17" s="777" t="s">
        <v>668</v>
      </c>
      <c r="D17" s="777"/>
      <c r="E17" s="778" t="s">
        <v>377</v>
      </c>
      <c r="F17" s="779"/>
      <c r="G17" s="780"/>
      <c r="H17" s="777" t="s">
        <v>1170</v>
      </c>
      <c r="I17" s="777"/>
      <c r="J17" s="784" t="s">
        <v>669</v>
      </c>
      <c r="K17" s="785"/>
      <c r="L17" s="785"/>
      <c r="M17" s="785"/>
      <c r="N17" s="786"/>
    </row>
    <row r="18" spans="1:14" customFormat="1" ht="24" customHeight="1" thickTop="1" x14ac:dyDescent="0.15">
      <c r="B18" s="462" t="s">
        <v>712</v>
      </c>
      <c r="C18" s="781" t="s">
        <v>869</v>
      </c>
      <c r="D18" s="781"/>
      <c r="E18" s="466" t="s">
        <v>670</v>
      </c>
      <c r="F18" s="465" t="s">
        <v>720</v>
      </c>
      <c r="G18" s="463" t="s">
        <v>671</v>
      </c>
      <c r="H18" s="782" t="s">
        <v>672</v>
      </c>
      <c r="I18" s="783"/>
      <c r="J18" s="787" t="s">
        <v>673</v>
      </c>
      <c r="K18" s="788"/>
      <c r="L18" s="788"/>
      <c r="M18" s="788"/>
      <c r="N18" s="789"/>
    </row>
    <row r="19" spans="1:14" customFormat="1" ht="33.75" customHeight="1" x14ac:dyDescent="0.15">
      <c r="B19" s="460"/>
      <c r="C19" s="790"/>
      <c r="D19" s="790"/>
      <c r="E19" s="467"/>
      <c r="F19" s="469"/>
      <c r="G19" s="470"/>
      <c r="H19" s="791"/>
      <c r="I19" s="792"/>
      <c r="J19" s="759"/>
      <c r="K19" s="760"/>
      <c r="L19" s="760"/>
      <c r="M19" s="760"/>
      <c r="N19" s="761"/>
    </row>
    <row r="20" spans="1:14" customFormat="1" ht="33.75" customHeight="1" x14ac:dyDescent="0.15">
      <c r="B20" s="458"/>
      <c r="C20" s="762"/>
      <c r="D20" s="762"/>
      <c r="E20" s="467"/>
      <c r="F20" s="471"/>
      <c r="G20" s="472"/>
      <c r="H20" s="763"/>
      <c r="I20" s="764"/>
      <c r="J20" s="759"/>
      <c r="K20" s="760"/>
      <c r="L20" s="760"/>
      <c r="M20" s="760"/>
      <c r="N20" s="761"/>
    </row>
    <row r="21" spans="1:14" customFormat="1" ht="33.75" customHeight="1" x14ac:dyDescent="0.15">
      <c r="B21" s="458"/>
      <c r="C21" s="762"/>
      <c r="D21" s="762"/>
      <c r="E21" s="467"/>
      <c r="F21" s="471"/>
      <c r="G21" s="472"/>
      <c r="H21" s="763"/>
      <c r="I21" s="764"/>
      <c r="J21" s="759"/>
      <c r="K21" s="760"/>
      <c r="L21" s="760"/>
      <c r="M21" s="760"/>
      <c r="N21" s="761"/>
    </row>
    <row r="22" spans="1:14" customFormat="1" ht="33.75" customHeight="1" x14ac:dyDescent="0.15">
      <c r="B22" s="458"/>
      <c r="C22" s="762"/>
      <c r="D22" s="762"/>
      <c r="E22" s="467"/>
      <c r="F22" s="471"/>
      <c r="G22" s="472"/>
      <c r="H22" s="763"/>
      <c r="I22" s="764"/>
      <c r="J22" s="759"/>
      <c r="K22" s="760"/>
      <c r="L22" s="760"/>
      <c r="M22" s="760"/>
      <c r="N22" s="761"/>
    </row>
    <row r="23" spans="1:14" customFormat="1" ht="33.75" customHeight="1" x14ac:dyDescent="0.15">
      <c r="B23" s="458"/>
      <c r="C23" s="762"/>
      <c r="D23" s="762"/>
      <c r="E23" s="467"/>
      <c r="F23" s="471"/>
      <c r="G23" s="472"/>
      <c r="H23" s="763"/>
      <c r="I23" s="764"/>
      <c r="J23" s="759"/>
      <c r="K23" s="760"/>
      <c r="L23" s="760"/>
      <c r="M23" s="760"/>
      <c r="N23" s="761"/>
    </row>
    <row r="24" spans="1:14" customFormat="1" ht="33.75" customHeight="1" x14ac:dyDescent="0.15">
      <c r="B24" s="458"/>
      <c r="C24" s="762"/>
      <c r="D24" s="762"/>
      <c r="E24" s="467"/>
      <c r="F24" s="471"/>
      <c r="G24" s="472"/>
      <c r="H24" s="763"/>
      <c r="I24" s="764"/>
      <c r="J24" s="759"/>
      <c r="K24" s="760"/>
      <c r="L24" s="760"/>
      <c r="M24" s="760"/>
      <c r="N24" s="761"/>
    </row>
    <row r="25" spans="1:14" customFormat="1" ht="33.75" customHeight="1" x14ac:dyDescent="0.15">
      <c r="B25" s="458"/>
      <c r="C25" s="762"/>
      <c r="D25" s="762"/>
      <c r="E25" s="467"/>
      <c r="F25" s="471"/>
      <c r="G25" s="472"/>
      <c r="H25" s="763"/>
      <c r="I25" s="764"/>
      <c r="J25" s="759"/>
      <c r="K25" s="760"/>
      <c r="L25" s="760"/>
      <c r="M25" s="760"/>
      <c r="N25" s="761"/>
    </row>
    <row r="26" spans="1:14" customFormat="1" ht="33.75" customHeight="1" x14ac:dyDescent="0.15">
      <c r="B26" s="458"/>
      <c r="C26" s="762"/>
      <c r="D26" s="762"/>
      <c r="E26" s="467"/>
      <c r="F26" s="471"/>
      <c r="G26" s="472"/>
      <c r="H26" s="763"/>
      <c r="I26" s="764"/>
      <c r="J26" s="759"/>
      <c r="K26" s="760"/>
      <c r="L26" s="760"/>
      <c r="M26" s="760"/>
      <c r="N26" s="761"/>
    </row>
    <row r="27" spans="1:14" customFormat="1" ht="33.75" customHeight="1" x14ac:dyDescent="0.15">
      <c r="B27" s="458"/>
      <c r="C27" s="762"/>
      <c r="D27" s="762"/>
      <c r="E27" s="467"/>
      <c r="F27" s="471"/>
      <c r="G27" s="472"/>
      <c r="H27" s="763"/>
      <c r="I27" s="764"/>
      <c r="J27" s="759"/>
      <c r="K27" s="760"/>
      <c r="L27" s="760"/>
      <c r="M27" s="760"/>
      <c r="N27" s="761"/>
    </row>
    <row r="28" spans="1:14" customFormat="1" ht="33.75" customHeight="1" thickBot="1" x14ac:dyDescent="0.2">
      <c r="B28" s="459"/>
      <c r="C28" s="768"/>
      <c r="D28" s="768"/>
      <c r="E28" s="468"/>
      <c r="F28" s="473"/>
      <c r="G28" s="474"/>
      <c r="H28" s="769"/>
      <c r="I28" s="770"/>
      <c r="J28" s="765"/>
      <c r="K28" s="766"/>
      <c r="L28" s="766"/>
      <c r="M28" s="766"/>
      <c r="N28" s="767"/>
    </row>
    <row r="30" spans="1:14" ht="26.25" customHeight="1" x14ac:dyDescent="0.15">
      <c r="B30" s="131" t="s">
        <v>333</v>
      </c>
      <c r="D30" s="132"/>
    </row>
    <row r="31" spans="1:14" ht="17.25" x14ac:dyDescent="0.15">
      <c r="A31" s="122" t="s">
        <v>322</v>
      </c>
      <c r="B31" s="133" t="s">
        <v>350</v>
      </c>
      <c r="D31" s="134"/>
      <c r="E31" s="134"/>
      <c r="F31" s="134"/>
      <c r="G31" s="134"/>
      <c r="H31" s="134"/>
      <c r="I31" s="134"/>
      <c r="J31" s="134"/>
      <c r="K31" s="134"/>
      <c r="L31" s="134"/>
      <c r="M31" s="134"/>
    </row>
    <row r="32" spans="1:14" ht="17.25" x14ac:dyDescent="0.15">
      <c r="A32" s="135"/>
      <c r="B32" s="133" t="s">
        <v>351</v>
      </c>
      <c r="D32" s="132"/>
    </row>
    <row r="33" spans="1:5" ht="17.25" x14ac:dyDescent="0.15">
      <c r="A33" s="135"/>
      <c r="B33" s="133" t="s">
        <v>334</v>
      </c>
      <c r="D33" s="132"/>
    </row>
    <row r="34" spans="1:5" ht="17.25" x14ac:dyDescent="0.15">
      <c r="A34" s="135"/>
      <c r="B34" s="133"/>
      <c r="D34" s="132"/>
    </row>
    <row r="35" spans="1:5" ht="21.75" customHeight="1" x14ac:dyDescent="0.15">
      <c r="A35" s="136" t="s">
        <v>335</v>
      </c>
      <c r="B35" s="137" t="s">
        <v>336</v>
      </c>
    </row>
    <row r="36" spans="1:5" ht="21.75" hidden="1" customHeight="1" x14ac:dyDescent="0.15">
      <c r="A36" s="136"/>
      <c r="B36" s="406" t="s">
        <v>458</v>
      </c>
    </row>
    <row r="37" spans="1:5" ht="21.75" hidden="1" customHeight="1" x14ac:dyDescent="0.15">
      <c r="A37" s="136"/>
      <c r="B37" s="406" t="s">
        <v>725</v>
      </c>
    </row>
    <row r="38" spans="1:5" ht="21.75" hidden="1" customHeight="1" x14ac:dyDescent="0.15">
      <c r="A38" s="136"/>
      <c r="B38" s="406" t="s">
        <v>726</v>
      </c>
    </row>
    <row r="39" spans="1:5" ht="21.75" customHeight="1" x14ac:dyDescent="0.15">
      <c r="A39" s="136" t="s">
        <v>357</v>
      </c>
      <c r="B39" s="406" t="s">
        <v>1160</v>
      </c>
    </row>
    <row r="40" spans="1:5" ht="21.75" customHeight="1" x14ac:dyDescent="0.15">
      <c r="A40" s="136" t="s">
        <v>358</v>
      </c>
      <c r="B40" s="130" t="s">
        <v>354</v>
      </c>
      <c r="E40" s="138" t="s">
        <v>367</v>
      </c>
    </row>
    <row r="41" spans="1:5" ht="21.75" customHeight="1" x14ac:dyDescent="0.15">
      <c r="A41" s="136"/>
      <c r="B41" s="190" t="s">
        <v>385</v>
      </c>
      <c r="E41" s="138"/>
    </row>
    <row r="42" spans="1:5" ht="21.75" customHeight="1" x14ac:dyDescent="0.15">
      <c r="A42" s="136" t="s">
        <v>359</v>
      </c>
      <c r="B42" s="130" t="s">
        <v>371</v>
      </c>
    </row>
    <row r="43" spans="1:5" ht="21.75" customHeight="1" x14ac:dyDescent="0.15">
      <c r="A43" s="136" t="s">
        <v>360</v>
      </c>
      <c r="B43" s="130" t="s">
        <v>337</v>
      </c>
    </row>
    <row r="44" spans="1:5" ht="21.75" customHeight="1" x14ac:dyDescent="0.15">
      <c r="B44" s="142" t="s">
        <v>870</v>
      </c>
    </row>
    <row r="45" spans="1:5" ht="21.75" customHeight="1" x14ac:dyDescent="0.15">
      <c r="A45" s="136"/>
      <c r="B45" s="130" t="s">
        <v>353</v>
      </c>
    </row>
    <row r="46" spans="1:5" ht="21.75" customHeight="1" x14ac:dyDescent="0.15">
      <c r="A46" s="136"/>
      <c r="B46" s="243" t="s">
        <v>1159</v>
      </c>
    </row>
    <row r="47" spans="1:5" ht="11.45" hidden="1" customHeight="1" x14ac:dyDescent="0.15">
      <c r="B47" s="243" t="s">
        <v>472</v>
      </c>
    </row>
    <row r="48" spans="1:5" ht="21.75" hidden="1" customHeight="1" x14ac:dyDescent="0.15">
      <c r="A48" s="134" t="s">
        <v>361</v>
      </c>
      <c r="B48" s="142" t="s">
        <v>1039</v>
      </c>
    </row>
    <row r="49" spans="1:2" ht="21.75" hidden="1" customHeight="1" x14ac:dyDescent="0.15">
      <c r="A49" s="136"/>
      <c r="B49" s="243" t="s">
        <v>1040</v>
      </c>
    </row>
    <row r="50" spans="1:2" ht="21.75" customHeight="1" x14ac:dyDescent="0.15">
      <c r="A50" s="635" t="s">
        <v>361</v>
      </c>
      <c r="B50" s="142" t="s">
        <v>1099</v>
      </c>
    </row>
    <row r="51" spans="1:2" ht="21.75" customHeight="1" x14ac:dyDescent="0.15">
      <c r="A51" s="136"/>
      <c r="B51" s="243" t="s">
        <v>1037</v>
      </c>
    </row>
    <row r="52" spans="1:2" ht="21.75" customHeight="1" x14ac:dyDescent="0.15">
      <c r="A52" s="136"/>
      <c r="B52" s="243" t="s">
        <v>1038</v>
      </c>
    </row>
    <row r="53" spans="1:2" ht="21.75" customHeight="1" x14ac:dyDescent="0.15">
      <c r="A53" s="134" t="s">
        <v>362</v>
      </c>
      <c r="B53" s="243" t="s">
        <v>727</v>
      </c>
    </row>
    <row r="54" spans="1:2" ht="21.75" customHeight="1" x14ac:dyDescent="0.15">
      <c r="A54" s="136"/>
      <c r="B54" s="138" t="s">
        <v>352</v>
      </c>
    </row>
    <row r="55" spans="1:2" ht="21.75" customHeight="1" x14ac:dyDescent="0.15">
      <c r="A55" s="136"/>
      <c r="B55" s="138" t="s">
        <v>355</v>
      </c>
    </row>
    <row r="56" spans="1:2" ht="21.75" hidden="1" customHeight="1" x14ac:dyDescent="0.15">
      <c r="A56" s="136" t="s">
        <v>362</v>
      </c>
      <c r="B56" s="130" t="s">
        <v>356</v>
      </c>
    </row>
    <row r="57" spans="1:2" ht="21.75" customHeight="1" x14ac:dyDescent="0.15">
      <c r="A57" s="136"/>
    </row>
    <row r="58" spans="1:2" ht="21.75" customHeight="1" x14ac:dyDescent="0.15">
      <c r="A58" s="122" t="s">
        <v>338</v>
      </c>
      <c r="B58" s="133" t="s">
        <v>339</v>
      </c>
    </row>
    <row r="59" spans="1:2" ht="21.75" customHeight="1" x14ac:dyDescent="0.15">
      <c r="A59" s="144" t="s">
        <v>338</v>
      </c>
      <c r="B59" s="145" t="s">
        <v>342</v>
      </c>
    </row>
    <row r="60" spans="1:2" ht="21.75" customHeight="1" x14ac:dyDescent="0.15">
      <c r="A60" s="139" t="s">
        <v>338</v>
      </c>
      <c r="B60" s="140" t="s">
        <v>340</v>
      </c>
    </row>
    <row r="61" spans="1:2" ht="21.75" customHeight="1" x14ac:dyDescent="0.15">
      <c r="A61" s="139" t="s">
        <v>338</v>
      </c>
      <c r="B61" s="140" t="s">
        <v>341</v>
      </c>
    </row>
    <row r="62" spans="1:2" ht="21.75" customHeight="1" x14ac:dyDescent="0.15">
      <c r="A62" s="139" t="s">
        <v>338</v>
      </c>
      <c r="B62" s="140" t="s">
        <v>372</v>
      </c>
    </row>
    <row r="63" spans="1:2" ht="21.75" customHeight="1" x14ac:dyDescent="0.15">
      <c r="A63" s="139"/>
      <c r="B63" s="138"/>
    </row>
    <row r="64" spans="1:2" ht="21.75" customHeight="1" x14ac:dyDescent="0.15">
      <c r="A64" s="136" t="s">
        <v>343</v>
      </c>
      <c r="B64" s="243" t="s">
        <v>1171</v>
      </c>
    </row>
    <row r="65" spans="1:2" ht="21.75" customHeight="1" x14ac:dyDescent="0.15">
      <c r="A65" s="136" t="s">
        <v>343</v>
      </c>
      <c r="B65" s="130" t="s">
        <v>344</v>
      </c>
    </row>
    <row r="66" spans="1:2" ht="21.75" customHeight="1" x14ac:dyDescent="0.15">
      <c r="A66" s="136" t="s">
        <v>343</v>
      </c>
      <c r="B66" s="130" t="s">
        <v>345</v>
      </c>
    </row>
    <row r="67" spans="1:2" ht="21.75" customHeight="1" x14ac:dyDescent="0.15">
      <c r="A67" s="136" t="s">
        <v>343</v>
      </c>
      <c r="B67" s="130" t="s">
        <v>871</v>
      </c>
    </row>
    <row r="68" spans="1:2" ht="21.75" customHeight="1" x14ac:dyDescent="0.15">
      <c r="A68" s="136"/>
      <c r="B68" s="130" t="s">
        <v>346</v>
      </c>
    </row>
    <row r="69" spans="1:2" ht="21.75" customHeight="1" x14ac:dyDescent="0.15">
      <c r="A69" s="136"/>
      <c r="B69" s="130" t="s">
        <v>347</v>
      </c>
    </row>
  </sheetData>
  <sheetProtection algorithmName="SHA-512" hashValue="scLJfNaFKzNKaRPE7SVbi9FA6Nvmr/3Lf0HhSi+HVsEKQ2Po8P42Cr3XfXy0IpBSot9Ek6klZuFA7JnNw5f/7g==" saltValue="/b0M6NoawVSwGz7sBsSqrA==" spinCount="100000" sheet="1" selectLockedCells="1"/>
  <mergeCells count="66">
    <mergeCell ref="C7:G7"/>
    <mergeCell ref="H7:I7"/>
    <mergeCell ref="J7:N7"/>
    <mergeCell ref="C8:N8"/>
    <mergeCell ref="G2:N2"/>
    <mergeCell ref="C5:E5"/>
    <mergeCell ref="F5:G5"/>
    <mergeCell ref="H5:N5"/>
    <mergeCell ref="C6:G6"/>
    <mergeCell ref="H6:I6"/>
    <mergeCell ref="J6:N6"/>
    <mergeCell ref="B1:N1"/>
    <mergeCell ref="C3:E3"/>
    <mergeCell ref="G3:I3"/>
    <mergeCell ref="C4:I4"/>
    <mergeCell ref="J4:K4"/>
    <mergeCell ref="L4:N4"/>
    <mergeCell ref="B11:B13"/>
    <mergeCell ref="E13:N13"/>
    <mergeCell ref="C11:D11"/>
    <mergeCell ref="E11:H11"/>
    <mergeCell ref="C12:D12"/>
    <mergeCell ref="E12:G12"/>
    <mergeCell ref="C13:D13"/>
    <mergeCell ref="H20:I20"/>
    <mergeCell ref="B15:N15"/>
    <mergeCell ref="B16:N16"/>
    <mergeCell ref="C17:D17"/>
    <mergeCell ref="H17:I17"/>
    <mergeCell ref="E17:G17"/>
    <mergeCell ref="C18:D18"/>
    <mergeCell ref="H18:I18"/>
    <mergeCell ref="J17:N17"/>
    <mergeCell ref="J18:N18"/>
    <mergeCell ref="J19:N19"/>
    <mergeCell ref="C19:D19"/>
    <mergeCell ref="H19:I19"/>
    <mergeCell ref="C28:D28"/>
    <mergeCell ref="H28:I28"/>
    <mergeCell ref="C25:D25"/>
    <mergeCell ref="H25:I25"/>
    <mergeCell ref="C26:D26"/>
    <mergeCell ref="H26:I26"/>
    <mergeCell ref="J28:N28"/>
    <mergeCell ref="J20:N20"/>
    <mergeCell ref="J21:N21"/>
    <mergeCell ref="J22:N22"/>
    <mergeCell ref="J25:N25"/>
    <mergeCell ref="J23:N23"/>
    <mergeCell ref="J24:N24"/>
    <mergeCell ref="C9:N9"/>
    <mergeCell ref="C10:D10"/>
    <mergeCell ref="E10:N10"/>
    <mergeCell ref="J26:N26"/>
    <mergeCell ref="J27:N27"/>
    <mergeCell ref="C27:D27"/>
    <mergeCell ref="H27:I27"/>
    <mergeCell ref="C23:D23"/>
    <mergeCell ref="H23:I23"/>
    <mergeCell ref="C24:D24"/>
    <mergeCell ref="H24:I24"/>
    <mergeCell ref="C21:D21"/>
    <mergeCell ref="H21:I21"/>
    <mergeCell ref="C22:D22"/>
    <mergeCell ref="H22:I22"/>
    <mergeCell ref="C20:D20"/>
  </mergeCells>
  <phoneticPr fontId="4"/>
  <dataValidations count="5">
    <dataValidation type="list" allowBlank="1" showInputMessage="1" showErrorMessage="1" sqref="C3:E3" xr:uid="{00000000-0002-0000-0100-000000000000}">
      <formula1>都県</formula1>
    </dataValidation>
    <dataValidation imeMode="halfAlpha" allowBlank="1" showInputMessage="1" showErrorMessage="1" sqref="G3:I3" xr:uid="{00000000-0002-0000-0100-000001000000}"/>
    <dataValidation imeMode="hiragana" allowBlank="1" showInputMessage="1" showErrorMessage="1" sqref="C4:I4 L4:N4 H5:N5 C7:G7 J7:N7 E11:H11 E13:E14" xr:uid="{00000000-0002-0000-0100-000003000000}"/>
    <dataValidation type="list" allowBlank="1" showInputMessage="1" showErrorMessage="1" sqref="C10" xr:uid="{00000000-0002-0000-0100-000004000000}">
      <formula1>"許可する,許可しない"</formula1>
    </dataValidation>
    <dataValidation type="list" allowBlank="1" showInputMessage="1" showErrorMessage="1" sqref="H19:I28" xr:uid="{00000000-0002-0000-0100-000005000000}">
      <formula1>"他団体から複合出場,他団体へ複合出場,学校・一般両方出場"</formula1>
    </dataValidation>
  </dataValidations>
  <pageMargins left="0.25" right="0.2" top="0.55000000000000004" bottom="0.28999999999999998" header="0.3" footer="0.3"/>
  <pageSetup paperSize="9" scale="74" fitToHeight="0" orientation="portrait" horizontalDpi="4294967293" r:id="rId1"/>
  <rowBreaks count="1" manualBreakCount="1">
    <brk id="29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FF00"/>
  </sheetPr>
  <dimension ref="A1:GZ138"/>
  <sheetViews>
    <sheetView zoomScaleNormal="100" workbookViewId="0">
      <pane xSplit="8" ySplit="11" topLeftCell="I12" activePane="bottomRight" state="frozen"/>
      <selection pane="topRight"/>
      <selection pane="bottomLeft"/>
      <selection pane="bottomRight" activeCell="G12" sqref="G12"/>
    </sheetView>
  </sheetViews>
  <sheetFormatPr defaultRowHeight="18.75" customHeight="1" x14ac:dyDescent="0.15"/>
  <cols>
    <col min="1" max="1" width="3.5" hidden="1" customWidth="1"/>
    <col min="2" max="2" width="4.375" style="57" bestFit="1" customWidth="1"/>
    <col min="3" max="3" width="13" style="57" customWidth="1"/>
    <col min="4" max="4" width="13.75" style="57" customWidth="1"/>
    <col min="5" max="5" width="17.125" style="57" customWidth="1"/>
    <col min="6" max="6" width="5.25" style="152" bestFit="1" customWidth="1"/>
    <col min="7" max="7" width="16.125" style="148" bestFit="1" customWidth="1"/>
    <col min="8" max="8" width="14.375" style="153" customWidth="1"/>
    <col min="9" max="9" width="7.375" style="1" customWidth="1"/>
    <col min="10" max="13" width="7.5" style="148" customWidth="1"/>
    <col min="14" max="15" width="7.5" style="148" hidden="1" customWidth="1"/>
    <col min="16" max="16" width="9.875" style="1" customWidth="1"/>
    <col min="17" max="21" width="10.75" style="148" customWidth="1"/>
    <col min="22" max="22" width="6.25" style="148" customWidth="1"/>
    <col min="23" max="23" width="6.25" style="152" customWidth="1"/>
    <col min="24" max="24" width="1.625" customWidth="1"/>
    <col min="25" max="25" width="8.75" style="407" customWidth="1"/>
    <col min="26" max="26" width="7.125" style="401" customWidth="1"/>
    <col min="27" max="27" width="8.75" style="407" customWidth="1"/>
    <col min="28" max="28" width="7.125" style="401" customWidth="1"/>
    <col min="29" max="29" width="8.75" style="407" customWidth="1"/>
    <col min="30" max="30" width="7.125" style="401" customWidth="1"/>
    <col min="31" max="31" width="8.75" style="407" customWidth="1"/>
    <col min="32" max="32" width="7.125" style="401" customWidth="1"/>
    <col min="33" max="33" width="8.75" style="407" customWidth="1"/>
    <col min="34" max="34" width="7.125" style="401" customWidth="1"/>
    <col min="35" max="35" width="8.125" style="407" customWidth="1"/>
    <col min="36" max="36" width="5" style="454" customWidth="1"/>
    <col min="37" max="37" width="7.125" style="455" customWidth="1"/>
    <col min="38" max="38" width="16.625" style="407" hidden="1" customWidth="1"/>
    <col min="39" max="39" width="12" style="158" customWidth="1"/>
    <col min="40" max="40" width="14.375" style="454" hidden="1" customWidth="1"/>
    <col min="41" max="41" width="8.75" style="454" hidden="1" customWidth="1"/>
    <col min="42" max="42" width="14.375" style="454" hidden="1" customWidth="1"/>
    <col min="43" max="43" width="8.75" style="454" hidden="1" customWidth="1"/>
    <col min="44" max="44" width="14.375" style="454" hidden="1" customWidth="1"/>
    <col min="45" max="45" width="8.75" style="454" hidden="1" customWidth="1"/>
    <col min="46" max="46" width="14.375" style="454" customWidth="1"/>
    <col min="47" max="47" width="8.75" style="454" customWidth="1"/>
    <col min="48" max="48" width="8.625" style="454" customWidth="1"/>
    <col min="49" max="49" width="5.5" style="407" customWidth="1"/>
    <col min="50" max="50" width="8.75" style="454" customWidth="1"/>
    <col min="51" max="51" width="8.625" style="454" hidden="1" customWidth="1"/>
    <col min="52" max="52" width="5.5" style="407" hidden="1" customWidth="1"/>
    <col min="53" max="53" width="7.125" style="407" hidden="1" customWidth="1"/>
    <col min="54" max="54" width="13.75" style="158" hidden="1" customWidth="1"/>
    <col min="55" max="55" width="13.75" style="158" customWidth="1"/>
    <col min="56" max="57" width="13.75" style="158" hidden="1" customWidth="1"/>
    <col min="58" max="58" width="16.625" style="407" hidden="1" customWidth="1"/>
    <col min="59" max="59" width="3.5" style="407" hidden="1" customWidth="1"/>
    <col min="60" max="61" width="9" hidden="1" customWidth="1"/>
    <col min="62" max="62" width="16.625" hidden="1" customWidth="1"/>
    <col min="63" max="63" width="5.25" hidden="1" customWidth="1"/>
    <col min="64" max="64" width="2.625" hidden="1" customWidth="1"/>
    <col min="65" max="66" width="4.25" hidden="1" customWidth="1"/>
    <col min="67" max="67" width="9" hidden="1" customWidth="1"/>
    <col min="68" max="80" width="9" style="1" hidden="1" customWidth="1"/>
    <col min="81" max="83" width="9" hidden="1" customWidth="1"/>
    <col min="84" max="84" width="10.125" hidden="1" customWidth="1"/>
    <col min="85" max="85" width="11.625" hidden="1" customWidth="1"/>
    <col min="86" max="87" width="9" hidden="1" customWidth="1"/>
    <col min="88" max="88" width="6.75" hidden="1" customWidth="1"/>
    <col min="89" max="89" width="5.5" hidden="1" customWidth="1"/>
    <col min="90" max="90" width="10.5" hidden="1" customWidth="1"/>
    <col min="91" max="91" width="9" hidden="1" customWidth="1"/>
    <col min="92" max="92" width="1.5" hidden="1" customWidth="1"/>
    <col min="93" max="93" width="8" style="156" hidden="1" customWidth="1"/>
    <col min="94" max="94" width="9" hidden="1" customWidth="1"/>
    <col min="95" max="95" width="4.75" hidden="1" customWidth="1"/>
    <col min="96" max="96" width="11.25" hidden="1" customWidth="1"/>
    <col min="97" max="97" width="5.25" hidden="1" customWidth="1"/>
    <col min="98" max="98" width="12.25" hidden="1" customWidth="1"/>
    <col min="99" max="99" width="5.25" hidden="1" customWidth="1"/>
    <col min="100" max="100" width="9" hidden="1" customWidth="1"/>
    <col min="101" max="101" width="4.75" hidden="1" customWidth="1"/>
    <col min="102" max="102" width="9" hidden="1" customWidth="1"/>
    <col min="103" max="103" width="4.75" hidden="1" customWidth="1"/>
    <col min="104" max="104" width="3.75" hidden="1" customWidth="1"/>
    <col min="105" max="105" width="7.625" hidden="1" customWidth="1"/>
    <col min="106" max="106" width="6" hidden="1" customWidth="1"/>
    <col min="107" max="107" width="6.75" hidden="1" customWidth="1"/>
    <col min="108" max="108" width="4.5" style="1" hidden="1" customWidth="1"/>
    <col min="109" max="109" width="7" hidden="1" customWidth="1"/>
    <col min="110" max="110" width="9" hidden="1" customWidth="1"/>
    <col min="111" max="111" width="4.75" hidden="1" customWidth="1"/>
    <col min="112" max="114" width="10.125" hidden="1" customWidth="1"/>
    <col min="115" max="122" width="9" hidden="1" customWidth="1"/>
    <col min="123" max="123" width="3.75" hidden="1" customWidth="1"/>
    <col min="124" max="124" width="9" hidden="1" customWidth="1"/>
    <col min="125" max="125" width="6" hidden="1" customWidth="1"/>
    <col min="126" max="126" width="6.75" hidden="1" customWidth="1"/>
    <col min="127" max="127" width="4.5" style="1" hidden="1" customWidth="1"/>
    <col min="128" max="128" width="10.5" hidden="1" customWidth="1"/>
    <col min="129" max="130" width="9" hidden="1" customWidth="1"/>
    <col min="131" max="131" width="3.75" hidden="1" customWidth="1"/>
    <col min="132" max="132" width="9" hidden="1" customWidth="1"/>
    <col min="133" max="133" width="6" hidden="1" customWidth="1"/>
    <col min="134" max="134" width="6.75" hidden="1" customWidth="1"/>
    <col min="135" max="136" width="4.5" style="1" hidden="1" customWidth="1"/>
    <col min="137" max="137" width="10.5" hidden="1" customWidth="1"/>
    <col min="138" max="139" width="9" hidden="1" customWidth="1"/>
    <col min="140" max="140" width="5.375" style="155" hidden="1" customWidth="1"/>
    <col min="141" max="141" width="6" style="155" hidden="1" customWidth="1"/>
    <col min="142" max="142" width="6.75" style="155" hidden="1" customWidth="1"/>
    <col min="143" max="143" width="6.375" style="156" hidden="1" customWidth="1"/>
    <col min="144" max="144" width="5.625" style="156" hidden="1" customWidth="1"/>
    <col min="145" max="145" width="9.875" style="155" hidden="1" customWidth="1"/>
    <col min="146" max="146" width="5.375" style="155" hidden="1" customWidth="1"/>
    <col min="147" max="147" width="6" style="155" hidden="1" customWidth="1"/>
    <col min="148" max="148" width="6.75" style="155" hidden="1" customWidth="1"/>
    <col min="149" max="149" width="6.375" style="156" hidden="1" customWidth="1"/>
    <col min="150" max="150" width="5.625" style="156" hidden="1" customWidth="1"/>
    <col min="151" max="151" width="9.875" style="155" hidden="1" customWidth="1"/>
    <col min="152" max="152" width="5.375" hidden="1" customWidth="1"/>
    <col min="153" max="153" width="6" hidden="1" customWidth="1"/>
    <col min="154" max="154" width="6.75" hidden="1" customWidth="1"/>
    <col min="155" max="155" width="6.375" style="1" hidden="1" customWidth="1"/>
    <col min="156" max="156" width="5.625" style="1" hidden="1" customWidth="1"/>
    <col min="157" max="157" width="9.875" hidden="1" customWidth="1"/>
    <col min="158" max="158" width="5.5" hidden="1" customWidth="1"/>
    <col min="159" max="159" width="8" style="156" hidden="1" customWidth="1"/>
    <col min="160" max="160" width="10.125" hidden="1" customWidth="1"/>
    <col min="161" max="161" width="4.75" hidden="1" customWidth="1"/>
    <col min="162" max="162" width="10.125" hidden="1" customWidth="1"/>
    <col min="163" max="163" width="4.75" hidden="1" customWidth="1"/>
    <col min="164" max="164" width="10.125" hidden="1" customWidth="1"/>
    <col min="165" max="165" width="4.75" hidden="1" customWidth="1"/>
    <col min="166" max="166" width="8" style="156" hidden="1" customWidth="1"/>
    <col min="167" max="167" width="9" hidden="1" customWidth="1"/>
    <col min="168" max="168" width="4.75" hidden="1" customWidth="1"/>
    <col min="169" max="169" width="9" hidden="1" customWidth="1"/>
    <col min="170" max="170" width="4.75" hidden="1" customWidth="1"/>
    <col min="171" max="171" width="4.625" hidden="1" customWidth="1"/>
    <col min="172" max="172" width="8.25" hidden="1" customWidth="1"/>
    <col min="173" max="173" width="6" hidden="1" customWidth="1"/>
    <col min="174" max="174" width="6.75" hidden="1" customWidth="1"/>
    <col min="175" max="175" width="4.5" style="1" hidden="1" customWidth="1"/>
    <col min="176" max="176" width="7" hidden="1" customWidth="1"/>
    <col min="177" max="177" width="9" hidden="1" customWidth="1"/>
    <col min="178" max="180" width="4.75" hidden="1" customWidth="1"/>
    <col min="181" max="190" width="7.125" style="19" hidden="1" customWidth="1"/>
    <col min="191" max="191" width="8.5" style="19" hidden="1" customWidth="1"/>
    <col min="192" max="192" width="7" hidden="1" customWidth="1"/>
    <col min="193" max="193" width="9" style="19" hidden="1" customWidth="1"/>
    <col min="194" max="194" width="3.375" hidden="1" customWidth="1"/>
    <col min="195" max="197" width="6.625" hidden="1" customWidth="1"/>
    <col min="198" max="198" width="7.5" hidden="1" customWidth="1"/>
    <col min="199" max="203" width="6.625" hidden="1" customWidth="1"/>
    <col min="204" max="204" width="18.375" hidden="1" customWidth="1"/>
    <col min="205" max="205" width="26.375" hidden="1" customWidth="1"/>
    <col min="206" max="206" width="9" hidden="1" customWidth="1"/>
    <col min="207" max="208" width="8.875" hidden="1" customWidth="1"/>
    <col min="209" max="209" width="8.875" customWidth="1"/>
  </cols>
  <sheetData>
    <row r="1" spans="1:208" ht="28.5" customHeight="1" thickBot="1" x14ac:dyDescent="0.2">
      <c r="B1" s="63" t="s">
        <v>62</v>
      </c>
      <c r="C1" s="63"/>
      <c r="D1" s="63"/>
      <c r="E1" s="63"/>
      <c r="F1" s="64"/>
      <c r="G1" s="65"/>
      <c r="H1" s="43"/>
      <c r="I1" s="200"/>
      <c r="J1" s="927" t="s">
        <v>1035</v>
      </c>
      <c r="K1" s="927"/>
      <c r="L1" s="927"/>
      <c r="M1" s="927"/>
      <c r="N1" s="617"/>
      <c r="O1" s="617"/>
      <c r="P1" s="266" t="s">
        <v>728</v>
      </c>
      <c r="Q1" s="927" t="s">
        <v>162</v>
      </c>
      <c r="R1" s="927"/>
      <c r="S1" s="927"/>
      <c r="T1" s="927"/>
      <c r="U1" s="927"/>
      <c r="V1" s="927"/>
      <c r="W1" s="927"/>
      <c r="AB1" s="841" t="s">
        <v>1036</v>
      </c>
      <c r="AC1" s="841"/>
      <c r="AD1" s="841"/>
      <c r="AE1" s="841"/>
      <c r="AF1" s="841"/>
      <c r="AG1" s="841"/>
      <c r="AH1" s="575"/>
      <c r="AI1" s="575"/>
      <c r="AJ1" s="575"/>
      <c r="AK1" s="575"/>
      <c r="AL1" s="408"/>
      <c r="AM1" s="575"/>
      <c r="AN1" s="841" t="s">
        <v>1041</v>
      </c>
      <c r="AO1" s="841"/>
      <c r="AP1" s="841"/>
      <c r="AQ1" s="841"/>
      <c r="AR1" s="841"/>
      <c r="AS1" s="841"/>
      <c r="AT1" s="841"/>
      <c r="AU1" s="841"/>
      <c r="AV1" s="841"/>
      <c r="AW1" s="841"/>
      <c r="AX1" s="841"/>
      <c r="AY1" s="841"/>
      <c r="AZ1" s="841"/>
      <c r="BA1" s="841"/>
      <c r="BB1" s="575"/>
      <c r="BC1" s="575"/>
      <c r="BD1" s="575"/>
      <c r="BE1" s="486"/>
      <c r="BF1" s="408"/>
      <c r="BG1" s="408"/>
      <c r="BH1" s="43"/>
      <c r="BI1" s="43"/>
    </row>
    <row r="2" spans="1:208" ht="18.75" customHeight="1" x14ac:dyDescent="0.15">
      <c r="B2" s="939">
        <f>団体情報・入力の仕方!$G$3</f>
        <v>0</v>
      </c>
      <c r="C2" s="940"/>
      <c r="D2" s="940"/>
      <c r="E2" s="941">
        <f>団体情報・入力の仕方!$C$4</f>
        <v>0</v>
      </c>
      <c r="F2" s="941"/>
      <c r="G2" s="942"/>
      <c r="H2" s="893" t="s">
        <v>1176</v>
      </c>
      <c r="I2" s="906" t="s">
        <v>545</v>
      </c>
      <c r="J2" s="989" t="s">
        <v>314</v>
      </c>
      <c r="K2" s="990"/>
      <c r="L2" s="990"/>
      <c r="M2" s="990"/>
      <c r="N2" s="618"/>
      <c r="O2" s="619"/>
      <c r="P2" s="303" t="s">
        <v>320</v>
      </c>
      <c r="Q2" s="913" t="s">
        <v>1043</v>
      </c>
      <c r="R2" s="914"/>
      <c r="S2" s="914"/>
      <c r="T2" s="914"/>
      <c r="U2" s="914"/>
      <c r="V2" s="914"/>
      <c r="W2" s="915"/>
      <c r="Y2" s="878" t="s">
        <v>1042</v>
      </c>
      <c r="Z2" s="879"/>
      <c r="AA2" s="879"/>
      <c r="AB2" s="879"/>
      <c r="AC2" s="879"/>
      <c r="AD2" s="879"/>
      <c r="AE2" s="879"/>
      <c r="AF2" s="879"/>
      <c r="AG2" s="879"/>
      <c r="AH2" s="879"/>
      <c r="AI2" s="879"/>
      <c r="AJ2" s="879"/>
      <c r="AK2" s="879"/>
      <c r="AL2" s="409"/>
      <c r="AM2" s="824" t="s">
        <v>1175</v>
      </c>
      <c r="AN2" s="825"/>
      <c r="AO2" s="825"/>
      <c r="AP2" s="825"/>
      <c r="AQ2" s="825"/>
      <c r="AR2" s="825"/>
      <c r="AS2" s="825"/>
      <c r="AT2" s="825"/>
      <c r="AU2" s="825"/>
      <c r="AV2" s="825"/>
      <c r="AW2" s="825"/>
      <c r="AX2" s="825"/>
      <c r="AY2" s="825"/>
      <c r="AZ2" s="825"/>
      <c r="BA2" s="825"/>
      <c r="BB2" s="825"/>
      <c r="BC2" s="826"/>
      <c r="BD2" s="636"/>
      <c r="BE2" s="636"/>
      <c r="BF2" s="409"/>
      <c r="BG2" s="410"/>
    </row>
    <row r="3" spans="1:208" ht="18.75" customHeight="1" x14ac:dyDescent="0.15">
      <c r="B3" s="954" t="s">
        <v>63</v>
      </c>
      <c r="C3" s="830" t="s">
        <v>1161</v>
      </c>
      <c r="D3" s="830" t="s">
        <v>64</v>
      </c>
      <c r="E3" s="830" t="s">
        <v>384</v>
      </c>
      <c r="F3" s="830" t="s">
        <v>18</v>
      </c>
      <c r="G3" s="956" t="s">
        <v>65</v>
      </c>
      <c r="H3" s="894"/>
      <c r="I3" s="907"/>
      <c r="J3" s="917" t="s">
        <v>146</v>
      </c>
      <c r="K3" s="917"/>
      <c r="L3" s="917"/>
      <c r="M3" s="959"/>
      <c r="N3" s="962" t="s">
        <v>147</v>
      </c>
      <c r="O3" s="918"/>
      <c r="P3" s="965" t="s">
        <v>546</v>
      </c>
      <c r="Q3" s="916"/>
      <c r="R3" s="917"/>
      <c r="S3" s="917"/>
      <c r="T3" s="917"/>
      <c r="U3" s="917"/>
      <c r="V3" s="917"/>
      <c r="W3" s="918"/>
      <c r="Y3" s="880"/>
      <c r="Z3" s="881"/>
      <c r="AA3" s="881"/>
      <c r="AB3" s="881"/>
      <c r="AC3" s="881"/>
      <c r="AD3" s="881"/>
      <c r="AE3" s="881"/>
      <c r="AF3" s="881"/>
      <c r="AG3" s="881"/>
      <c r="AH3" s="881"/>
      <c r="AI3" s="881"/>
      <c r="AJ3" s="881"/>
      <c r="AK3" s="881"/>
      <c r="AL3" s="577"/>
      <c r="AM3" s="827"/>
      <c r="AN3" s="828"/>
      <c r="AO3" s="828"/>
      <c r="AP3" s="828"/>
      <c r="AQ3" s="828"/>
      <c r="AR3" s="828"/>
      <c r="AS3" s="828"/>
      <c r="AT3" s="828"/>
      <c r="AU3" s="828"/>
      <c r="AV3" s="828"/>
      <c r="AW3" s="828"/>
      <c r="AX3" s="828"/>
      <c r="AY3" s="828"/>
      <c r="AZ3" s="828"/>
      <c r="BA3" s="828"/>
      <c r="BB3" s="828"/>
      <c r="BC3" s="829"/>
      <c r="BD3" s="716"/>
      <c r="BE3" s="637"/>
      <c r="BF3" s="896" t="s">
        <v>151</v>
      </c>
      <c r="BG3" s="897"/>
    </row>
    <row r="4" spans="1:208" ht="26.25" customHeight="1" thickBot="1" x14ac:dyDescent="0.2">
      <c r="B4" s="955"/>
      <c r="C4" s="831"/>
      <c r="D4" s="831"/>
      <c r="E4" s="831"/>
      <c r="F4" s="831"/>
      <c r="G4" s="957"/>
      <c r="H4" s="895"/>
      <c r="I4" s="908"/>
      <c r="J4" s="304" t="s">
        <v>41</v>
      </c>
      <c r="K4" s="305" t="s">
        <v>43</v>
      </c>
      <c r="L4" s="305" t="s">
        <v>45</v>
      </c>
      <c r="M4" s="304" t="s">
        <v>47</v>
      </c>
      <c r="N4" s="305" t="s">
        <v>43</v>
      </c>
      <c r="O4" s="306" t="s">
        <v>45</v>
      </c>
      <c r="P4" s="966"/>
      <c r="Q4" s="307" t="s">
        <v>16</v>
      </c>
      <c r="R4" s="308" t="s">
        <v>19</v>
      </c>
      <c r="S4" s="309" t="s">
        <v>149</v>
      </c>
      <c r="T4" s="308" t="s">
        <v>148</v>
      </c>
      <c r="U4" s="310" t="s">
        <v>36</v>
      </c>
      <c r="V4" s="898" t="s">
        <v>37</v>
      </c>
      <c r="W4" s="899"/>
      <c r="Y4" s="351" t="s">
        <v>16</v>
      </c>
      <c r="Z4" s="336" t="s">
        <v>652</v>
      </c>
      <c r="AA4" s="352" t="s">
        <v>66</v>
      </c>
      <c r="AB4" s="336" t="s">
        <v>652</v>
      </c>
      <c r="AC4" s="352" t="s">
        <v>30</v>
      </c>
      <c r="AD4" s="336" t="s">
        <v>652</v>
      </c>
      <c r="AE4" s="352" t="s">
        <v>20</v>
      </c>
      <c r="AF4" s="336" t="s">
        <v>652</v>
      </c>
      <c r="AG4" s="352" t="s">
        <v>36</v>
      </c>
      <c r="AH4" s="336" t="s">
        <v>652</v>
      </c>
      <c r="AI4" s="904" t="s">
        <v>37</v>
      </c>
      <c r="AJ4" s="905"/>
      <c r="AK4" s="336" t="s">
        <v>652</v>
      </c>
      <c r="AL4" s="936"/>
      <c r="AM4" s="707" t="s">
        <v>1173</v>
      </c>
      <c r="AN4" s="672" t="s">
        <v>1090</v>
      </c>
      <c r="AO4" s="500" t="s">
        <v>652</v>
      </c>
      <c r="AP4" s="672" t="s">
        <v>19</v>
      </c>
      <c r="AQ4" s="500" t="s">
        <v>652</v>
      </c>
      <c r="AR4" s="499" t="s">
        <v>30</v>
      </c>
      <c r="AS4" s="500" t="s">
        <v>652</v>
      </c>
      <c r="AT4" s="499" t="s">
        <v>1172</v>
      </c>
      <c r="AU4" s="500" t="s">
        <v>652</v>
      </c>
      <c r="AV4" s="960" t="s">
        <v>1174</v>
      </c>
      <c r="AW4" s="961"/>
      <c r="AX4" s="500" t="s">
        <v>652</v>
      </c>
      <c r="AY4" s="960" t="s">
        <v>1094</v>
      </c>
      <c r="AZ4" s="961"/>
      <c r="BA4" s="501" t="s">
        <v>652</v>
      </c>
      <c r="BB4" s="728" t="s">
        <v>1092</v>
      </c>
      <c r="BC4" s="718" t="s">
        <v>1198</v>
      </c>
      <c r="BD4" s="673" t="s">
        <v>1093</v>
      </c>
      <c r="BE4" s="502" t="s">
        <v>855</v>
      </c>
      <c r="BF4" s="411" t="s">
        <v>67</v>
      </c>
      <c r="BG4" s="412" t="s">
        <v>68</v>
      </c>
    </row>
    <row r="5" spans="1:208" ht="18.75" customHeight="1" thickTop="1" x14ac:dyDescent="0.15">
      <c r="B5" s="24" t="s">
        <v>69</v>
      </c>
      <c r="C5" s="708">
        <v>9999</v>
      </c>
      <c r="D5" s="25" t="s">
        <v>862</v>
      </c>
      <c r="E5" s="25" t="s">
        <v>1068</v>
      </c>
      <c r="F5" s="372"/>
      <c r="G5" s="46">
        <v>40269</v>
      </c>
      <c r="H5" s="402"/>
      <c r="I5" s="311">
        <f>IF($BJ5=0,"",DATEDIF($BJ5,参照データ!$D$16,"Y"))</f>
        <v>16</v>
      </c>
      <c r="J5" s="312"/>
      <c r="K5" s="312"/>
      <c r="L5" s="312" t="s">
        <v>722</v>
      </c>
      <c r="M5" s="312"/>
      <c r="N5" s="312"/>
      <c r="O5" s="313"/>
      <c r="P5" s="314"/>
      <c r="Q5" s="315" t="s">
        <v>152</v>
      </c>
      <c r="R5" s="312"/>
      <c r="S5" s="312"/>
      <c r="T5" s="312"/>
      <c r="U5" s="316"/>
      <c r="V5" s="317" t="s">
        <v>152</v>
      </c>
      <c r="W5" s="318" t="s">
        <v>155</v>
      </c>
      <c r="Y5" s="413" t="s">
        <v>157</v>
      </c>
      <c r="Z5" s="397" t="s">
        <v>1209</v>
      </c>
      <c r="AA5" s="414"/>
      <c r="AB5" s="397"/>
      <c r="AC5" s="414"/>
      <c r="AD5" s="397"/>
      <c r="AE5" s="414"/>
      <c r="AF5" s="397"/>
      <c r="AG5" s="414"/>
      <c r="AH5" s="397"/>
      <c r="AI5" s="415" t="s">
        <v>157</v>
      </c>
      <c r="AJ5" s="416" t="s">
        <v>374</v>
      </c>
      <c r="AK5" s="417" t="s">
        <v>1049</v>
      </c>
      <c r="AL5" s="937"/>
      <c r="AM5" s="503">
        <f>IF($BJ5=0,"",DATEDIF($BJ5,参照データ!$D$17,"Y"))</f>
        <v>16</v>
      </c>
      <c r="AN5" s="489"/>
      <c r="AO5" s="489"/>
      <c r="AP5" s="489" t="s">
        <v>868</v>
      </c>
      <c r="AQ5" s="489" t="s">
        <v>980</v>
      </c>
      <c r="AR5" s="489"/>
      <c r="AS5" s="489"/>
      <c r="AT5" s="489" t="s">
        <v>868</v>
      </c>
      <c r="AU5" s="489" t="s">
        <v>1212</v>
      </c>
      <c r="AV5" s="489" t="s">
        <v>722</v>
      </c>
      <c r="AW5" s="504" t="s">
        <v>374</v>
      </c>
      <c r="AX5" s="489" t="s">
        <v>1127</v>
      </c>
      <c r="AY5" s="489"/>
      <c r="AZ5" s="504"/>
      <c r="BA5" s="578"/>
      <c r="BB5" s="674" t="s">
        <v>867</v>
      </c>
      <c r="BC5" s="719" t="s">
        <v>867</v>
      </c>
      <c r="BD5" s="505" t="s">
        <v>867</v>
      </c>
      <c r="BE5" s="505" t="s">
        <v>867</v>
      </c>
      <c r="BF5" s="418"/>
      <c r="BG5" s="419"/>
      <c r="BJ5">
        <f t="shared" ref="BJ5:BJ9" si="0">VALUE($G5)</f>
        <v>40269</v>
      </c>
    </row>
    <row r="6" spans="1:208" ht="18.75" customHeight="1" x14ac:dyDescent="0.15">
      <c r="B6" s="44"/>
      <c r="C6" s="709"/>
      <c r="D6" s="54" t="s">
        <v>160</v>
      </c>
      <c r="E6" s="45"/>
      <c r="F6" s="372"/>
      <c r="G6" s="46"/>
      <c r="H6" s="403"/>
      <c r="I6" s="178" t="str">
        <f>IF($BJ6=0,"",DATEDIF($BJ6,参照データ!$D$16,"Y"))</f>
        <v/>
      </c>
      <c r="J6" s="312"/>
      <c r="K6" s="312"/>
      <c r="L6" s="312"/>
      <c r="M6" s="312"/>
      <c r="N6" s="312"/>
      <c r="O6" s="313"/>
      <c r="P6" s="319"/>
      <c r="Q6" s="315" t="s">
        <v>45</v>
      </c>
      <c r="R6" s="312" t="s">
        <v>714</v>
      </c>
      <c r="S6" s="312"/>
      <c r="T6" s="312"/>
      <c r="U6" s="316"/>
      <c r="V6" s="320"/>
      <c r="W6" s="318"/>
      <c r="Y6" s="413"/>
      <c r="Z6" s="397"/>
      <c r="AA6" s="414"/>
      <c r="AB6" s="397"/>
      <c r="AC6" s="414"/>
      <c r="AD6" s="397"/>
      <c r="AE6" s="420"/>
      <c r="AF6" s="397"/>
      <c r="AG6" s="414"/>
      <c r="AH6" s="397"/>
      <c r="AI6" s="421"/>
      <c r="AJ6" s="416"/>
      <c r="AK6" s="422"/>
      <c r="AL6" s="937"/>
      <c r="AM6" s="487" t="str">
        <f>IF($BJ6=0,"",DATEDIF($BJ6,参照データ!$D$17,"Y"))</f>
        <v/>
      </c>
      <c r="AN6" s="491"/>
      <c r="AO6" s="491"/>
      <c r="AP6" s="491"/>
      <c r="AQ6" s="491"/>
      <c r="AR6" s="491"/>
      <c r="AS6" s="491"/>
      <c r="AT6" s="491"/>
      <c r="AU6" s="491"/>
      <c r="AV6" s="491"/>
      <c r="AW6" s="720"/>
      <c r="AX6" s="491"/>
      <c r="AY6" s="491"/>
      <c r="AZ6" s="720"/>
      <c r="BA6" s="579"/>
      <c r="BB6" s="675"/>
      <c r="BC6" s="721"/>
      <c r="BD6" s="492"/>
      <c r="BE6" s="492"/>
      <c r="BF6" s="423"/>
      <c r="BG6" s="424"/>
      <c r="BJ6">
        <f t="shared" si="0"/>
        <v>0</v>
      </c>
      <c r="BO6" t="s">
        <v>70</v>
      </c>
      <c r="FS6" s="367" t="s">
        <v>635</v>
      </c>
    </row>
    <row r="7" spans="1:208" ht="18.75" customHeight="1" x14ac:dyDescent="0.15">
      <c r="B7" s="27" t="s">
        <v>69</v>
      </c>
      <c r="C7" s="710">
        <v>8888</v>
      </c>
      <c r="D7" s="28" t="s">
        <v>863</v>
      </c>
      <c r="E7" s="28" t="s">
        <v>1069</v>
      </c>
      <c r="F7" s="372"/>
      <c r="G7" s="46">
        <v>37507</v>
      </c>
      <c r="H7" s="404"/>
      <c r="I7" s="311">
        <f>IF($BJ7=0,"",DATEDIF($BJ7,参照データ!$D$16,"Y"))</f>
        <v>23</v>
      </c>
      <c r="J7" s="312"/>
      <c r="K7" s="312"/>
      <c r="L7" s="312"/>
      <c r="M7" s="312"/>
      <c r="N7" s="312" t="s">
        <v>722</v>
      </c>
      <c r="O7" s="313"/>
      <c r="P7" s="319"/>
      <c r="Q7" s="315"/>
      <c r="R7" s="312"/>
      <c r="S7" s="312"/>
      <c r="T7" s="312" t="s">
        <v>152</v>
      </c>
      <c r="U7" s="316"/>
      <c r="V7" s="320" t="s">
        <v>152</v>
      </c>
      <c r="W7" s="318" t="s">
        <v>156</v>
      </c>
      <c r="Y7" s="413"/>
      <c r="Z7" s="397"/>
      <c r="AA7" s="414" t="s">
        <v>157</v>
      </c>
      <c r="AB7" s="397" t="s">
        <v>1211</v>
      </c>
      <c r="AC7" s="414" t="s">
        <v>716</v>
      </c>
      <c r="AD7" s="397" t="s">
        <v>1210</v>
      </c>
      <c r="AE7" s="425"/>
      <c r="AF7" s="397"/>
      <c r="AG7" s="414" t="s">
        <v>157</v>
      </c>
      <c r="AH7" s="397" t="s">
        <v>1067</v>
      </c>
      <c r="AI7" s="426" t="s">
        <v>157</v>
      </c>
      <c r="AJ7" s="416" t="s">
        <v>375</v>
      </c>
      <c r="AK7" s="427" t="s">
        <v>1049</v>
      </c>
      <c r="AL7" s="937"/>
      <c r="AM7" s="488">
        <f>IF($BJ7=0,"",DATEDIF($BJ7,参照データ!$D$17,"Y"))</f>
        <v>24</v>
      </c>
      <c r="AN7" s="493"/>
      <c r="AO7" s="493"/>
      <c r="AP7" s="493"/>
      <c r="AQ7" s="493"/>
      <c r="AR7" s="493"/>
      <c r="AS7" s="493"/>
      <c r="AT7" s="493"/>
      <c r="AU7" s="493"/>
      <c r="AV7" s="493" t="s">
        <v>722</v>
      </c>
      <c r="AW7" s="490" t="s">
        <v>375</v>
      </c>
      <c r="AX7" s="493" t="s">
        <v>1127</v>
      </c>
      <c r="AY7" s="493" t="s">
        <v>722</v>
      </c>
      <c r="AZ7" s="490" t="s">
        <v>156</v>
      </c>
      <c r="BA7" s="580" t="s">
        <v>873</v>
      </c>
      <c r="BB7" s="676" t="s">
        <v>729</v>
      </c>
      <c r="BC7" s="722" t="s">
        <v>729</v>
      </c>
      <c r="BD7" s="494" t="s">
        <v>729</v>
      </c>
      <c r="BE7" s="494" t="s">
        <v>729</v>
      </c>
      <c r="BF7" s="428" t="s">
        <v>717</v>
      </c>
      <c r="BG7" s="429" t="s">
        <v>718</v>
      </c>
      <c r="BJ7">
        <f t="shared" si="0"/>
        <v>37507</v>
      </c>
      <c r="B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X7" s="1"/>
      <c r="DY7" s="1"/>
      <c r="DZ7" s="1"/>
      <c r="EA7" s="1"/>
      <c r="EB7" s="1"/>
      <c r="EC7" s="1"/>
      <c r="ED7" s="1"/>
      <c r="EG7" s="1"/>
      <c r="EH7" s="1"/>
      <c r="EI7" s="1"/>
      <c r="FD7" s="1"/>
      <c r="FE7" s="1"/>
      <c r="FF7" s="1"/>
      <c r="FG7" s="1"/>
      <c r="FH7" s="1"/>
      <c r="FI7" s="1"/>
      <c r="FK7" s="1"/>
      <c r="FL7" s="1"/>
      <c r="FM7" s="1"/>
      <c r="FN7" s="1"/>
      <c r="FO7" s="1"/>
      <c r="FP7" s="1"/>
      <c r="FQ7" s="1"/>
      <c r="FR7" s="1"/>
      <c r="FS7" s="1" t="s">
        <v>632</v>
      </c>
      <c r="FT7" s="367" t="s">
        <v>633</v>
      </c>
      <c r="FU7" s="1"/>
      <c r="FV7" s="1"/>
    </row>
    <row r="8" spans="1:208" ht="18.75" customHeight="1" thickBot="1" x14ac:dyDescent="0.2">
      <c r="B8" s="27" t="s">
        <v>69</v>
      </c>
      <c r="C8" s="710">
        <v>1234</v>
      </c>
      <c r="D8" s="28" t="s">
        <v>864</v>
      </c>
      <c r="E8" s="28" t="s">
        <v>1070</v>
      </c>
      <c r="F8" s="62" t="s">
        <v>71</v>
      </c>
      <c r="G8" s="67">
        <v>42096</v>
      </c>
      <c r="H8" s="404"/>
      <c r="I8" s="311">
        <f>IF($BJ8=0,"",DATEDIF($BJ8,参照データ!$D$16,"Y"))</f>
        <v>10</v>
      </c>
      <c r="J8" s="321"/>
      <c r="K8" s="321"/>
      <c r="L8" s="321"/>
      <c r="M8" s="321"/>
      <c r="N8" s="321"/>
      <c r="O8" s="322"/>
      <c r="P8" s="323" t="s">
        <v>713</v>
      </c>
      <c r="Q8" s="324" t="s">
        <v>715</v>
      </c>
      <c r="R8" s="321"/>
      <c r="S8" s="321"/>
      <c r="T8" s="321"/>
      <c r="U8" s="325"/>
      <c r="V8" s="326"/>
      <c r="W8" s="327"/>
      <c r="Y8" s="430"/>
      <c r="Z8" s="398"/>
      <c r="AA8" s="414"/>
      <c r="AB8" s="398"/>
      <c r="AC8" s="414"/>
      <c r="AD8" s="398"/>
      <c r="AE8" s="431"/>
      <c r="AF8" s="398"/>
      <c r="AG8" s="425"/>
      <c r="AH8" s="398"/>
      <c r="AI8" s="432"/>
      <c r="AJ8" s="416"/>
      <c r="AK8" s="427"/>
      <c r="AL8" s="937"/>
      <c r="AM8" s="488">
        <f>IF($BJ8=0,"",DATEDIF($BJ8,参照データ!$D$17,"Y"))</f>
        <v>11</v>
      </c>
      <c r="AN8" s="497"/>
      <c r="AO8" s="493"/>
      <c r="AP8" s="497"/>
      <c r="AQ8" s="493"/>
      <c r="AR8" s="497"/>
      <c r="AS8" s="493"/>
      <c r="AT8" s="497"/>
      <c r="AU8" s="493"/>
      <c r="AV8" s="493"/>
      <c r="AW8" s="490"/>
      <c r="AX8" s="493"/>
      <c r="AY8" s="493"/>
      <c r="AZ8" s="490"/>
      <c r="BA8" s="580"/>
      <c r="BB8" s="676"/>
      <c r="BC8" s="722"/>
      <c r="BD8" s="494"/>
      <c r="BE8" s="494"/>
      <c r="BF8" s="428"/>
      <c r="BG8" s="429"/>
      <c r="BJ8">
        <f t="shared" si="0"/>
        <v>42096</v>
      </c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X8" s="1"/>
      <c r="DY8" s="1"/>
      <c r="DZ8" s="1"/>
      <c r="EA8" s="1"/>
      <c r="EB8" s="1"/>
      <c r="EC8" s="1"/>
      <c r="ED8" s="1"/>
      <c r="EG8" s="1"/>
      <c r="EH8" s="1"/>
      <c r="EI8" s="1"/>
      <c r="EJ8" s="156"/>
      <c r="EK8" s="156"/>
      <c r="EL8" s="156"/>
      <c r="EO8" s="156"/>
      <c r="EP8" s="156"/>
      <c r="EQ8" s="156"/>
      <c r="ER8" s="156"/>
      <c r="EU8" s="156"/>
      <c r="EV8" s="1"/>
      <c r="EW8" s="1"/>
      <c r="EX8" s="1"/>
      <c r="FA8" s="1"/>
      <c r="FD8" s="1"/>
      <c r="FE8" s="1"/>
      <c r="FF8" s="1"/>
      <c r="FG8" s="1"/>
      <c r="FH8" s="1"/>
      <c r="FI8" s="1"/>
      <c r="FK8" s="1"/>
      <c r="FL8" s="1"/>
      <c r="FM8" s="1"/>
      <c r="FN8" s="1"/>
      <c r="FO8" s="1"/>
      <c r="FP8" s="1"/>
      <c r="FQ8" s="1"/>
      <c r="FR8" s="1"/>
      <c r="FS8" s="1" t="s">
        <v>632</v>
      </c>
      <c r="FT8" s="367" t="s">
        <v>634</v>
      </c>
      <c r="FU8" s="1"/>
      <c r="FV8" s="1"/>
      <c r="FW8" s="1"/>
      <c r="FX8" s="1"/>
      <c r="FY8"/>
      <c r="FZ8"/>
      <c r="GA8"/>
      <c r="GB8"/>
      <c r="GC8"/>
      <c r="GD8"/>
      <c r="GE8"/>
      <c r="GF8"/>
      <c r="GG8"/>
      <c r="GH8"/>
      <c r="GI8"/>
      <c r="GJ8" s="1"/>
      <c r="GK8" s="368"/>
      <c r="GL8" s="1"/>
      <c r="GM8" s="1"/>
      <c r="GN8" s="1"/>
      <c r="GO8" s="1"/>
      <c r="GP8" s="1"/>
      <c r="GQ8" s="1"/>
      <c r="GR8" s="1"/>
      <c r="GS8" s="1"/>
      <c r="GT8" s="1"/>
      <c r="GU8" s="1"/>
    </row>
    <row r="9" spans="1:208" ht="18.75" customHeight="1" thickBot="1" x14ac:dyDescent="0.2">
      <c r="B9" s="68" t="s">
        <v>69</v>
      </c>
      <c r="C9" s="711">
        <v>5678</v>
      </c>
      <c r="D9" s="69" t="s">
        <v>865</v>
      </c>
      <c r="E9" s="69" t="s">
        <v>1071</v>
      </c>
      <c r="F9" s="371" t="s">
        <v>71</v>
      </c>
      <c r="G9" s="53">
        <v>33288</v>
      </c>
      <c r="H9" s="405"/>
      <c r="I9" s="328">
        <f>IF($BJ9=0,"",DATEDIF($BJ9,参照データ!$D$16,"Y"))</f>
        <v>35</v>
      </c>
      <c r="J9" s="329"/>
      <c r="K9" s="329"/>
      <c r="L9" s="329"/>
      <c r="M9" s="329" t="s">
        <v>722</v>
      </c>
      <c r="N9" s="329"/>
      <c r="O9" s="330"/>
      <c r="P9" s="331"/>
      <c r="Q9" s="332"/>
      <c r="R9" s="329"/>
      <c r="S9" s="329" t="s">
        <v>298</v>
      </c>
      <c r="T9" s="329"/>
      <c r="U9" s="333" t="s">
        <v>153</v>
      </c>
      <c r="V9" s="334"/>
      <c r="W9" s="335"/>
      <c r="Y9" s="433" t="s">
        <v>299</v>
      </c>
      <c r="Z9" s="399" t="s">
        <v>1066</v>
      </c>
      <c r="AA9" s="434"/>
      <c r="AB9" s="399"/>
      <c r="AC9" s="434"/>
      <c r="AD9" s="399"/>
      <c r="AE9" s="434" t="s">
        <v>157</v>
      </c>
      <c r="AF9" s="399" t="s">
        <v>1067</v>
      </c>
      <c r="AG9" s="435"/>
      <c r="AH9" s="399"/>
      <c r="AI9" s="436"/>
      <c r="AJ9" s="437"/>
      <c r="AK9" s="438"/>
      <c r="AL9" s="938"/>
      <c r="AM9" s="488">
        <f>IF($BJ9=0,"",DATEDIF($BJ9,参照データ!$D$17,"Y"))</f>
        <v>35</v>
      </c>
      <c r="AN9" s="495" t="s">
        <v>868</v>
      </c>
      <c r="AO9" s="495" t="s">
        <v>872</v>
      </c>
      <c r="AP9" s="495"/>
      <c r="AQ9" s="495"/>
      <c r="AR9" s="495"/>
      <c r="AS9" s="495"/>
      <c r="AT9" s="495" t="s">
        <v>868</v>
      </c>
      <c r="AU9" s="495" t="s">
        <v>872</v>
      </c>
      <c r="AV9" s="495"/>
      <c r="AW9" s="496"/>
      <c r="AX9" s="495"/>
      <c r="AY9" s="495" t="s">
        <v>868</v>
      </c>
      <c r="AZ9" s="496" t="s">
        <v>981</v>
      </c>
      <c r="BA9" s="581" t="s">
        <v>1127</v>
      </c>
      <c r="BB9" s="676" t="s">
        <v>730</v>
      </c>
      <c r="BC9" s="722" t="s">
        <v>730</v>
      </c>
      <c r="BD9" s="494" t="s">
        <v>730</v>
      </c>
      <c r="BE9" s="494" t="s">
        <v>730</v>
      </c>
      <c r="BF9" s="439"/>
      <c r="BG9" s="440" t="s">
        <v>74</v>
      </c>
      <c r="BJ9">
        <f t="shared" si="0"/>
        <v>33288</v>
      </c>
      <c r="BL9" s="148"/>
      <c r="BO9" s="1"/>
      <c r="BP9" s="888" t="s">
        <v>539</v>
      </c>
      <c r="BQ9" s="889"/>
      <c r="BR9" s="889"/>
      <c r="BS9" s="889"/>
      <c r="BT9" s="889"/>
      <c r="BU9" s="890"/>
      <c r="BV9" s="888" t="s">
        <v>540</v>
      </c>
      <c r="BW9" s="889"/>
      <c r="BX9" s="889"/>
      <c r="BY9" s="889"/>
      <c r="BZ9" s="889"/>
      <c r="CA9" s="890"/>
      <c r="CB9" s="268" t="s">
        <v>541</v>
      </c>
      <c r="CC9" s="900" t="s">
        <v>50</v>
      </c>
      <c r="CD9" s="900"/>
      <c r="CE9" s="900"/>
      <c r="CF9" s="900"/>
      <c r="CG9" s="900"/>
      <c r="CH9" s="900"/>
      <c r="CI9" s="900"/>
      <c r="CJ9" s="900"/>
      <c r="CK9" s="900"/>
      <c r="CL9" s="900"/>
      <c r="CM9" s="901"/>
      <c r="CP9" s="354" t="s">
        <v>305</v>
      </c>
      <c r="CQ9" s="355"/>
      <c r="CR9" s="355"/>
      <c r="CS9" s="355"/>
      <c r="CT9" s="355"/>
      <c r="CU9" s="355"/>
      <c r="CV9" s="355"/>
      <c r="CW9" s="355"/>
      <c r="CX9" s="355"/>
      <c r="CY9" s="355"/>
      <c r="CZ9" s="355"/>
      <c r="DA9" s="355"/>
      <c r="DB9" s="355"/>
      <c r="DC9" s="355"/>
      <c r="DD9" s="355"/>
      <c r="DE9" s="355"/>
      <c r="DF9" s="355"/>
      <c r="DG9" s="355"/>
      <c r="DH9" s="512"/>
      <c r="DI9" s="512"/>
      <c r="DJ9" s="512"/>
      <c r="DK9" s="512"/>
      <c r="DL9" s="512"/>
      <c r="DM9" s="512"/>
      <c r="DN9" s="512"/>
      <c r="DO9" s="512"/>
      <c r="DP9" s="512"/>
      <c r="DQ9" s="512"/>
      <c r="DR9" s="512"/>
      <c r="DS9" s="512"/>
      <c r="DT9" s="512"/>
      <c r="DU9" s="512"/>
      <c r="DV9" s="512"/>
      <c r="DW9" s="512"/>
      <c r="DX9" s="512"/>
      <c r="DY9" s="512"/>
      <c r="DZ9" s="512"/>
      <c r="EA9" s="512"/>
      <c r="EB9" s="512"/>
      <c r="EC9" s="512"/>
      <c r="ED9" s="512"/>
      <c r="EE9" s="512"/>
      <c r="EF9" s="512"/>
      <c r="EG9" s="512"/>
      <c r="EH9" s="512"/>
      <c r="EI9" s="512"/>
      <c r="EJ9" s="156"/>
      <c r="EK9" s="156"/>
      <c r="EL9" s="156"/>
      <c r="EO9" s="156"/>
      <c r="EP9" s="156"/>
      <c r="EQ9" s="156"/>
      <c r="ER9" s="156"/>
      <c r="EU9" s="156"/>
      <c r="EV9" s="1"/>
      <c r="EW9" s="1"/>
      <c r="EX9" s="1"/>
      <c r="FA9" s="1"/>
      <c r="FD9" s="348" t="s">
        <v>461</v>
      </c>
      <c r="FE9" s="348"/>
      <c r="FF9" s="348"/>
      <c r="FG9" s="348"/>
      <c r="FH9" s="348"/>
      <c r="FI9" s="348"/>
      <c r="FK9" s="348"/>
      <c r="FL9" s="348"/>
      <c r="FM9" s="348"/>
      <c r="FN9" s="348"/>
      <c r="FO9" s="348"/>
      <c r="FP9" s="348"/>
      <c r="FQ9" s="348"/>
      <c r="FR9" s="348"/>
      <c r="FS9" s="348"/>
      <c r="FT9" s="348"/>
      <c r="FU9" s="348"/>
      <c r="FV9" s="348"/>
      <c r="GM9" s="167" t="s">
        <v>85</v>
      </c>
      <c r="GN9" s="167"/>
      <c r="GP9" s="170" t="s">
        <v>29</v>
      </c>
      <c r="GQ9" s="171">
        <f>SUM(GM10:GU10)</f>
        <v>0</v>
      </c>
      <c r="GR9" s="570"/>
      <c r="GS9" s="570"/>
      <c r="GT9" s="570"/>
      <c r="GU9" s="570"/>
    </row>
    <row r="10" spans="1:208" ht="18.75" customHeight="1" thickBot="1" x14ac:dyDescent="0.2">
      <c r="B10" s="882" t="s">
        <v>300</v>
      </c>
      <c r="C10" s="883"/>
      <c r="D10" s="883"/>
      <c r="E10" s="883"/>
      <c r="F10" s="883"/>
      <c r="G10" s="884"/>
      <c r="H10" s="943"/>
      <c r="I10" s="920"/>
      <c r="J10" s="922">
        <f t="shared" ref="J10:O10" si="1">COUNTIF(J$12:J$71,$BI$13)</f>
        <v>0</v>
      </c>
      <c r="K10" s="922">
        <f t="shared" si="1"/>
        <v>0</v>
      </c>
      <c r="L10" s="922">
        <f t="shared" si="1"/>
        <v>0</v>
      </c>
      <c r="M10" s="922">
        <f t="shared" si="1"/>
        <v>0</v>
      </c>
      <c r="N10" s="922">
        <f t="shared" si="1"/>
        <v>0</v>
      </c>
      <c r="O10" s="991">
        <f t="shared" si="1"/>
        <v>0</v>
      </c>
      <c r="P10" s="911">
        <f>COUNTIF($P$12:$P$72,"○")</f>
        <v>0</v>
      </c>
      <c r="Q10" s="948">
        <f>COUNTIF(Q12:Q71,"**")</f>
        <v>0</v>
      </c>
      <c r="R10" s="930">
        <f>COUNTIF(R12:R71,"**")</f>
        <v>0</v>
      </c>
      <c r="S10" s="930">
        <f>COUNTIF(S12:S71,"**")</f>
        <v>0</v>
      </c>
      <c r="T10" s="930">
        <f>COUNTIF(T12:T71,"**")</f>
        <v>0</v>
      </c>
      <c r="U10" s="930">
        <f>COUNTIF(U12:U71,"**")</f>
        <v>0</v>
      </c>
      <c r="V10" s="950">
        <f>COUNTA($V$12:$V$71)/2</f>
        <v>0</v>
      </c>
      <c r="W10" s="951"/>
      <c r="Y10" s="624">
        <f>COUNTIF($Y$12:$Y$71,"オープン")</f>
        <v>0</v>
      </c>
      <c r="Z10" s="625"/>
      <c r="AA10" s="626">
        <f>COUNTIF($AA$12:$AA$71,"オープン")</f>
        <v>0</v>
      </c>
      <c r="AB10" s="625"/>
      <c r="AC10" s="626">
        <f>COUNTIF($AC$12:$AC$71,"オープン")</f>
        <v>0</v>
      </c>
      <c r="AD10" s="625"/>
      <c r="AE10" s="626">
        <f>COUNTIF($AE$12:$AE$71,"オープン")</f>
        <v>0</v>
      </c>
      <c r="AF10" s="625"/>
      <c r="AG10" s="626">
        <f>COUNTIF($AG$12:$AG$71,"オープン")</f>
        <v>0</v>
      </c>
      <c r="AH10" s="625"/>
      <c r="AI10" s="931">
        <f>COUNTIF($AI$12:$AI$71,"オープン")/2</f>
        <v>0</v>
      </c>
      <c r="AJ10" s="932"/>
      <c r="AK10" s="627"/>
      <c r="AL10" s="628" t="s">
        <v>665</v>
      </c>
      <c r="AM10" s="924"/>
      <c r="AN10" s="696"/>
      <c r="AO10" s="697"/>
      <c r="AP10" s="698"/>
      <c r="AQ10" s="697"/>
      <c r="AR10" s="698"/>
      <c r="AS10" s="697"/>
      <c r="AT10" s="698"/>
      <c r="AU10" s="699"/>
      <c r="AV10" s="933"/>
      <c r="AW10" s="934"/>
      <c r="AX10" s="699"/>
      <c r="AY10" s="933"/>
      <c r="AZ10" s="934"/>
      <c r="BA10" s="698"/>
      <c r="BB10" s="700"/>
      <c r="BC10" s="723"/>
      <c r="BD10" s="701"/>
      <c r="BE10" s="638">
        <f>$EU$72</f>
        <v>0</v>
      </c>
      <c r="BF10" s="441" t="s">
        <v>665</v>
      </c>
      <c r="BG10" s="902"/>
      <c r="BJ10" s="958" t="s">
        <v>223</v>
      </c>
      <c r="BK10" s="958"/>
      <c r="BL10" s="148"/>
      <c r="BO10" s="1"/>
      <c r="BP10" s="178"/>
      <c r="BQ10" s="169"/>
      <c r="BR10" s="169"/>
      <c r="BS10" s="169"/>
      <c r="BT10" s="169"/>
      <c r="BU10" s="179"/>
      <c r="BV10" s="178"/>
      <c r="BW10" s="169"/>
      <c r="BX10" s="169"/>
      <c r="BY10" s="169"/>
      <c r="BZ10" s="169"/>
      <c r="CA10" s="179"/>
      <c r="CB10" s="269"/>
      <c r="CC10" s="963" t="s">
        <v>226</v>
      </c>
      <c r="CD10" s="909" t="s">
        <v>227</v>
      </c>
      <c r="CE10" s="909" t="s">
        <v>228</v>
      </c>
      <c r="CF10" s="909" t="s">
        <v>230</v>
      </c>
      <c r="CG10" s="909" t="s">
        <v>301</v>
      </c>
      <c r="CH10" s="945" t="s">
        <v>229</v>
      </c>
      <c r="CI10" s="946"/>
      <c r="CJ10" s="946"/>
      <c r="CK10" s="946"/>
      <c r="CL10" s="946"/>
      <c r="CM10" s="947"/>
      <c r="CP10" s="861" t="s">
        <v>302</v>
      </c>
      <c r="CQ10" s="862"/>
      <c r="CR10" s="861" t="s">
        <v>303</v>
      </c>
      <c r="CS10" s="862"/>
      <c r="CT10" s="861" t="s">
        <v>304</v>
      </c>
      <c r="CU10" s="862"/>
      <c r="CV10" s="861" t="s">
        <v>76</v>
      </c>
      <c r="CW10" s="862"/>
      <c r="CX10" s="970" t="s">
        <v>75</v>
      </c>
      <c r="CY10" s="971"/>
      <c r="CZ10" s="861" t="s">
        <v>77</v>
      </c>
      <c r="DA10" s="969"/>
      <c r="DB10" s="969"/>
      <c r="DC10" s="969"/>
      <c r="DD10" s="969"/>
      <c r="DE10" s="969"/>
      <c r="DF10" s="969"/>
      <c r="DG10" s="369"/>
      <c r="DH10" s="513"/>
      <c r="DI10" s="513"/>
      <c r="DJ10" s="513"/>
      <c r="DK10" s="987" t="s">
        <v>1121</v>
      </c>
      <c r="DL10" s="988"/>
      <c r="DM10" s="873" t="s">
        <v>1122</v>
      </c>
      <c r="DN10" s="874"/>
      <c r="DO10" s="873" t="s">
        <v>1123</v>
      </c>
      <c r="DP10" s="874"/>
      <c r="DQ10" s="873" t="s">
        <v>1124</v>
      </c>
      <c r="DR10" s="874"/>
      <c r="DS10" s="985" t="s">
        <v>1125</v>
      </c>
      <c r="DT10" s="985"/>
      <c r="DU10" s="985"/>
      <c r="DV10" s="985"/>
      <c r="DW10" s="985"/>
      <c r="DX10" s="985"/>
      <c r="DY10" s="985"/>
      <c r="DZ10" s="691"/>
      <c r="EA10" s="985" t="s">
        <v>1094</v>
      </c>
      <c r="EB10" s="985"/>
      <c r="EC10" s="985"/>
      <c r="ED10" s="985"/>
      <c r="EE10" s="985"/>
      <c r="EF10" s="985"/>
      <c r="EG10" s="985"/>
      <c r="EH10" s="985"/>
      <c r="EI10" s="592"/>
      <c r="EJ10" s="863" t="s">
        <v>1129</v>
      </c>
      <c r="EK10" s="864"/>
      <c r="EL10" s="864"/>
      <c r="EM10" s="864"/>
      <c r="EN10" s="864"/>
      <c r="EO10" s="864"/>
      <c r="EP10" s="863" t="s">
        <v>1207</v>
      </c>
      <c r="EQ10" s="864"/>
      <c r="ER10" s="864"/>
      <c r="ES10" s="864"/>
      <c r="ET10" s="864"/>
      <c r="EU10" s="864"/>
      <c r="EV10" s="853" t="s">
        <v>745</v>
      </c>
      <c r="EW10" s="854"/>
      <c r="EX10" s="855"/>
      <c r="EY10" s="855"/>
      <c r="EZ10" s="855"/>
      <c r="FA10" s="855"/>
      <c r="FB10" s="856" t="s">
        <v>631</v>
      </c>
      <c r="FC10" s="347" t="s">
        <v>561</v>
      </c>
      <c r="FD10" s="173" t="s">
        <v>302</v>
      </c>
      <c r="FE10" s="174"/>
      <c r="FF10" s="175" t="s">
        <v>303</v>
      </c>
      <c r="FG10" s="174"/>
      <c r="FH10" s="175" t="s">
        <v>304</v>
      </c>
      <c r="FI10" s="174"/>
      <c r="FK10" s="967" t="s">
        <v>20</v>
      </c>
      <c r="FL10" s="974"/>
      <c r="FM10" s="972" t="s">
        <v>75</v>
      </c>
      <c r="FN10" s="973"/>
      <c r="FO10" s="967" t="s">
        <v>37</v>
      </c>
      <c r="FP10" s="968"/>
      <c r="FQ10" s="968"/>
      <c r="FR10" s="968"/>
      <c r="FS10" s="968"/>
      <c r="FT10" s="968"/>
      <c r="FU10" s="968"/>
      <c r="FV10" s="353"/>
      <c r="FY10" s="19" t="s">
        <v>0</v>
      </c>
      <c r="GJ10" s="984">
        <f>SUM(GK12:GK71)</f>
        <v>0</v>
      </c>
      <c r="GK10" s="984"/>
      <c r="GM10" s="168">
        <f>SUM(GM12:GM71)</f>
        <v>0</v>
      </c>
      <c r="GN10" s="168">
        <f>SUM(GN12:GN71)</f>
        <v>0</v>
      </c>
      <c r="GO10" s="168">
        <f>SUM(GO12:GO71)</f>
        <v>0</v>
      </c>
      <c r="GP10" s="168">
        <f>SUM(GP12:GP71)</f>
        <v>0</v>
      </c>
      <c r="GQ10" s="168">
        <f>SUM(GQ12:GQ71)</f>
        <v>0</v>
      </c>
      <c r="GR10" s="168"/>
      <c r="GS10" s="168"/>
      <c r="GT10" s="168"/>
      <c r="GU10" s="168">
        <f>SUM(GR12:GU71)</f>
        <v>0</v>
      </c>
    </row>
    <row r="11" spans="1:208" s="29" customFormat="1" ht="18.75" customHeight="1" thickBot="1" x14ac:dyDescent="0.2">
      <c r="B11" s="885"/>
      <c r="C11" s="886"/>
      <c r="D11" s="886"/>
      <c r="E11" s="886"/>
      <c r="F11" s="886"/>
      <c r="G11" s="887"/>
      <c r="H11" s="944"/>
      <c r="I11" s="921"/>
      <c r="J11" s="923"/>
      <c r="K11" s="923"/>
      <c r="L11" s="923"/>
      <c r="M11" s="923"/>
      <c r="N11" s="923"/>
      <c r="O11" s="992"/>
      <c r="P11" s="912"/>
      <c r="Q11" s="949"/>
      <c r="R11" s="923"/>
      <c r="S11" s="923"/>
      <c r="T11" s="923"/>
      <c r="U11" s="923"/>
      <c r="V11" s="952"/>
      <c r="W11" s="953"/>
      <c r="X11"/>
      <c r="Y11" s="442">
        <f>COUNTIF($Y$12:$Y$71,"選手権")</f>
        <v>0</v>
      </c>
      <c r="Z11" s="400"/>
      <c r="AA11" s="443">
        <f>COUNTIF($AA$12:$AA$71,"選手権")</f>
        <v>0</v>
      </c>
      <c r="AB11" s="400"/>
      <c r="AC11" s="443">
        <f>COUNTIF($AC$12:$AC$71,"選手権")</f>
        <v>0</v>
      </c>
      <c r="AD11" s="400"/>
      <c r="AE11" s="443">
        <f>COUNTIF($AE$12:$AE$71,"選手権")</f>
        <v>0</v>
      </c>
      <c r="AF11" s="400"/>
      <c r="AG11" s="443">
        <f>COUNTIF($AG$12:$AG$71,"選手権")</f>
        <v>0</v>
      </c>
      <c r="AH11" s="400"/>
      <c r="AI11" s="928">
        <f>COUNTIF($AI$12:$AI$71,"選手権")/2</f>
        <v>0</v>
      </c>
      <c r="AJ11" s="929"/>
      <c r="AK11" s="444"/>
      <c r="AL11" s="445" t="s">
        <v>666</v>
      </c>
      <c r="AM11" s="925"/>
      <c r="AN11" s="703">
        <f>COUNTIF($AN$12:$AN$71,"○")</f>
        <v>0</v>
      </c>
      <c r="AO11" s="498"/>
      <c r="AP11" s="704">
        <f>COUNTIF($AP$12:$AP$71,"○")</f>
        <v>0</v>
      </c>
      <c r="AQ11" s="498"/>
      <c r="AR11" s="704">
        <f>COUNTIF($AR$12:$AR$71,"○")</f>
        <v>0</v>
      </c>
      <c r="AS11" s="498"/>
      <c r="AT11" s="704">
        <f>COUNTIF($AT$12:$AT$71,"○")</f>
        <v>0</v>
      </c>
      <c r="AU11" s="498"/>
      <c r="AV11" s="935">
        <f>COUNTIF($AV$12:$AV$71,"○")/2</f>
        <v>0</v>
      </c>
      <c r="AW11" s="935"/>
      <c r="AX11" s="498"/>
      <c r="AY11" s="935">
        <f>COUNTIF($AY$12:$AY$71,"○")/2</f>
        <v>0</v>
      </c>
      <c r="AZ11" s="935"/>
      <c r="BA11" s="498"/>
      <c r="BB11" s="705">
        <f>$EO$72</f>
        <v>0</v>
      </c>
      <c r="BC11" s="706">
        <f>$EU$72</f>
        <v>0</v>
      </c>
      <c r="BD11" s="717">
        <f>$FA$76</f>
        <v>0</v>
      </c>
      <c r="BE11" s="639"/>
      <c r="BF11" s="445" t="s">
        <v>666</v>
      </c>
      <c r="BG11" s="903"/>
      <c r="BJ11" s="1" t="s">
        <v>558</v>
      </c>
      <c r="BK11" s="1" t="s">
        <v>190</v>
      </c>
      <c r="BL11" s="1"/>
      <c r="BM11" s="199"/>
      <c r="BN11" s="199"/>
      <c r="BO11" s="30" t="s">
        <v>78</v>
      </c>
      <c r="BP11" s="178" t="s">
        <v>158</v>
      </c>
      <c r="BQ11" s="169" t="s">
        <v>152</v>
      </c>
      <c r="BR11" s="169" t="s">
        <v>153</v>
      </c>
      <c r="BS11" s="169" t="s">
        <v>154</v>
      </c>
      <c r="BT11" s="169" t="s">
        <v>224</v>
      </c>
      <c r="BU11" s="179" t="s">
        <v>225</v>
      </c>
      <c r="BV11" s="178" t="s">
        <v>158</v>
      </c>
      <c r="BW11" s="169" t="s">
        <v>152</v>
      </c>
      <c r="BX11" s="169" t="s">
        <v>153</v>
      </c>
      <c r="BY11" s="169" t="s">
        <v>154</v>
      </c>
      <c r="BZ11" s="169" t="s">
        <v>224</v>
      </c>
      <c r="CA11" s="179" t="s">
        <v>225</v>
      </c>
      <c r="CB11" s="270"/>
      <c r="CC11" s="964"/>
      <c r="CD11" s="910"/>
      <c r="CE11" s="910"/>
      <c r="CF11" s="910"/>
      <c r="CG11" s="910"/>
      <c r="CH11" s="149" t="s">
        <v>231</v>
      </c>
      <c r="CI11" s="149" t="s">
        <v>232</v>
      </c>
      <c r="CJ11" s="70" t="s">
        <v>233</v>
      </c>
      <c r="CK11" s="70" t="s">
        <v>234</v>
      </c>
      <c r="CL11" s="71" t="s">
        <v>83</v>
      </c>
      <c r="CM11" s="176" t="s">
        <v>235</v>
      </c>
      <c r="CN11"/>
      <c r="CO11" s="198" t="s">
        <v>459</v>
      </c>
      <c r="CP11" s="180" t="s">
        <v>79</v>
      </c>
      <c r="CQ11" s="77" t="s">
        <v>80</v>
      </c>
      <c r="CR11" s="76" t="s">
        <v>79</v>
      </c>
      <c r="CS11" s="77" t="s">
        <v>80</v>
      </c>
      <c r="CT11" s="76" t="s">
        <v>79</v>
      </c>
      <c r="CU11" s="77" t="s">
        <v>80</v>
      </c>
      <c r="CV11" s="76" t="s">
        <v>79</v>
      </c>
      <c r="CW11" s="77" t="s">
        <v>80</v>
      </c>
      <c r="CX11" s="76" t="s">
        <v>79</v>
      </c>
      <c r="CY11" s="77" t="s">
        <v>80</v>
      </c>
      <c r="CZ11" s="31" t="s">
        <v>81</v>
      </c>
      <c r="DA11" s="32" t="s">
        <v>567</v>
      </c>
      <c r="DB11" s="77" t="s">
        <v>80</v>
      </c>
      <c r="DC11" s="80" t="s">
        <v>82</v>
      </c>
      <c r="DD11" s="80" t="s">
        <v>81</v>
      </c>
      <c r="DE11" s="81" t="s">
        <v>78</v>
      </c>
      <c r="DF11" s="82" t="s">
        <v>84</v>
      </c>
      <c r="DG11" s="76" t="s">
        <v>568</v>
      </c>
      <c r="DH11" s="514" t="s">
        <v>742</v>
      </c>
      <c r="DI11" s="514" t="s">
        <v>742</v>
      </c>
      <c r="DJ11" s="514" t="s">
        <v>742</v>
      </c>
      <c r="DK11" s="515" t="s">
        <v>376</v>
      </c>
      <c r="DL11" s="516" t="s">
        <v>377</v>
      </c>
      <c r="DM11" s="515" t="s">
        <v>376</v>
      </c>
      <c r="DN11" s="516" t="s">
        <v>377</v>
      </c>
      <c r="DO11" s="515" t="s">
        <v>376</v>
      </c>
      <c r="DP11" s="516" t="s">
        <v>377</v>
      </c>
      <c r="DQ11" s="515" t="s">
        <v>376</v>
      </c>
      <c r="DR11" s="516" t="s">
        <v>377</v>
      </c>
      <c r="DS11" s="517" t="s">
        <v>63</v>
      </c>
      <c r="DT11" s="518" t="s">
        <v>875</v>
      </c>
      <c r="DU11" s="519" t="s">
        <v>80</v>
      </c>
      <c r="DV11" s="520" t="s">
        <v>82</v>
      </c>
      <c r="DW11" s="520" t="s">
        <v>63</v>
      </c>
      <c r="DX11" s="521" t="s">
        <v>83</v>
      </c>
      <c r="DY11" s="522" t="s">
        <v>1128</v>
      </c>
      <c r="DZ11" s="522" t="s">
        <v>569</v>
      </c>
      <c r="EA11" s="517" t="s">
        <v>63</v>
      </c>
      <c r="EB11" s="518" t="s">
        <v>875</v>
      </c>
      <c r="EC11" s="519" t="s">
        <v>80</v>
      </c>
      <c r="ED11" s="520" t="s">
        <v>82</v>
      </c>
      <c r="EE11" s="520" t="s">
        <v>63</v>
      </c>
      <c r="EF11" s="520" t="s">
        <v>28</v>
      </c>
      <c r="EG11" s="521" t="s">
        <v>83</v>
      </c>
      <c r="EH11" s="522" t="s">
        <v>1128</v>
      </c>
      <c r="EI11" s="518" t="s">
        <v>569</v>
      </c>
      <c r="EJ11" s="547" t="s">
        <v>746</v>
      </c>
      <c r="EK11" s="548" t="s">
        <v>377</v>
      </c>
      <c r="EL11" s="549" t="s">
        <v>747</v>
      </c>
      <c r="EM11" s="549" t="s">
        <v>746</v>
      </c>
      <c r="EN11" s="550" t="s">
        <v>748</v>
      </c>
      <c r="EO11" s="551" t="s">
        <v>749</v>
      </c>
      <c r="EP11" s="547" t="s">
        <v>746</v>
      </c>
      <c r="EQ11" s="548" t="s">
        <v>377</v>
      </c>
      <c r="ER11" s="549" t="s">
        <v>747</v>
      </c>
      <c r="ES11" s="549" t="s">
        <v>746</v>
      </c>
      <c r="ET11" s="550" t="s">
        <v>748</v>
      </c>
      <c r="EU11" s="551" t="s">
        <v>749</v>
      </c>
      <c r="EV11" s="31" t="s">
        <v>746</v>
      </c>
      <c r="EW11" s="542" t="s">
        <v>377</v>
      </c>
      <c r="EX11" s="543" t="s">
        <v>747</v>
      </c>
      <c r="EY11" s="544" t="s">
        <v>746</v>
      </c>
      <c r="EZ11" s="545" t="s">
        <v>748</v>
      </c>
      <c r="FA11" s="546" t="s">
        <v>749</v>
      </c>
      <c r="FB11" s="856"/>
      <c r="FC11" s="198" t="s">
        <v>459</v>
      </c>
      <c r="FD11" s="90" t="s">
        <v>79</v>
      </c>
      <c r="FE11" s="91" t="s">
        <v>80</v>
      </c>
      <c r="FF11" s="90" t="s">
        <v>79</v>
      </c>
      <c r="FG11" s="91" t="s">
        <v>80</v>
      </c>
      <c r="FH11" s="90" t="s">
        <v>79</v>
      </c>
      <c r="FI11" s="91" t="s">
        <v>80</v>
      </c>
      <c r="FJ11" s="198" t="s">
        <v>459</v>
      </c>
      <c r="FK11" s="90" t="s">
        <v>79</v>
      </c>
      <c r="FL11" s="91" t="s">
        <v>80</v>
      </c>
      <c r="FM11" s="90" t="s">
        <v>79</v>
      </c>
      <c r="FN11" s="91" t="s">
        <v>80</v>
      </c>
      <c r="FO11" s="31" t="s">
        <v>63</v>
      </c>
      <c r="FP11" s="32" t="s">
        <v>567</v>
      </c>
      <c r="FQ11" s="91" t="s">
        <v>80</v>
      </c>
      <c r="FR11" s="94" t="s">
        <v>82</v>
      </c>
      <c r="FS11" s="94" t="s">
        <v>63</v>
      </c>
      <c r="FT11" s="95" t="s">
        <v>78</v>
      </c>
      <c r="FU11" s="96" t="s">
        <v>84</v>
      </c>
      <c r="FV11" s="91" t="s">
        <v>569</v>
      </c>
      <c r="FY11" s="33" t="s">
        <v>307</v>
      </c>
      <c r="FZ11" s="104" t="s">
        <v>543</v>
      </c>
      <c r="GA11" s="104" t="s">
        <v>308</v>
      </c>
      <c r="GB11" s="104" t="s">
        <v>309</v>
      </c>
      <c r="GC11" s="104" t="s">
        <v>310</v>
      </c>
      <c r="GD11" s="104" t="s">
        <v>311</v>
      </c>
      <c r="GE11" s="104" t="s">
        <v>1154</v>
      </c>
      <c r="GF11" s="104" t="s">
        <v>1155</v>
      </c>
      <c r="GG11" s="104"/>
      <c r="GH11" s="104"/>
      <c r="GI11" s="104" t="s">
        <v>306</v>
      </c>
      <c r="GJ11" s="34" t="s">
        <v>312</v>
      </c>
      <c r="GK11" s="105" t="s">
        <v>29</v>
      </c>
      <c r="GL11" s="35"/>
      <c r="GM11" s="35" t="s">
        <v>307</v>
      </c>
      <c r="GN11" s="35" t="s">
        <v>570</v>
      </c>
      <c r="GO11" s="35" t="s">
        <v>379</v>
      </c>
      <c r="GP11" s="35" t="s">
        <v>380</v>
      </c>
      <c r="GQ11" t="s">
        <v>373</v>
      </c>
      <c r="GR11" s="840" t="s">
        <v>857</v>
      </c>
      <c r="GS11" s="840"/>
      <c r="GT11" s="840"/>
      <c r="GU11" s="840"/>
      <c r="GV11" s="35" t="s">
        <v>381</v>
      </c>
      <c r="GW11" s="29" t="s">
        <v>858</v>
      </c>
      <c r="GX11" s="29" t="s">
        <v>1130</v>
      </c>
      <c r="GY11" s="29" t="s">
        <v>1206</v>
      </c>
      <c r="GZ11" s="29" t="s">
        <v>860</v>
      </c>
    </row>
    <row r="12" spans="1:208" ht="18.75" customHeight="1" thickTop="1" x14ac:dyDescent="0.15">
      <c r="A12">
        <v>1</v>
      </c>
      <c r="B12" s="52" t="str">
        <f>IF(D12="","",IF(D12="重複","",1))</f>
        <v/>
      </c>
      <c r="C12" s="712"/>
      <c r="D12" s="185"/>
      <c r="E12" s="185"/>
      <c r="F12" s="36"/>
      <c r="G12" s="47"/>
      <c r="H12" s="402">
        <f t="shared" ref="H12:H43" si="2">GK12</f>
        <v>0</v>
      </c>
      <c r="I12" s="201" t="str">
        <f>IF($BJ12=0,"",DATEDIF($BJ12,参照データ!$D$16,"Y"))</f>
        <v/>
      </c>
      <c r="J12" s="41"/>
      <c r="K12" s="41"/>
      <c r="L12" s="41"/>
      <c r="M12" s="41"/>
      <c r="N12" s="41"/>
      <c r="O12" s="49"/>
      <c r="P12" s="395"/>
      <c r="Q12" s="51"/>
      <c r="R12" s="289"/>
      <c r="S12" s="289"/>
      <c r="T12" s="289"/>
      <c r="U12" s="290"/>
      <c r="V12" s="291"/>
      <c r="W12" s="295"/>
      <c r="Y12" s="446"/>
      <c r="Z12" s="396" t="str">
        <f>IF($Y12="オープン",VLOOKUP($CO12,参照データ!$D$69:$M$86,9,0),IF($Y12="選手権",VLOOKUP($FC12,参照データ!$D$92:$O$121,10,0),""))</f>
        <v/>
      </c>
      <c r="AA12" s="446"/>
      <c r="AB12" s="666" t="str">
        <f>IF($AA12="オープン",VLOOKUP($CO12,参照データ!$D$69:$M$86,10,0),IF($AA12="選手権",VLOOKUP($FC12,参照データ!$D$92:$O$121,11,0),""))</f>
        <v/>
      </c>
      <c r="AC12" s="668"/>
      <c r="AD12" s="396" t="str">
        <f>IF($AC12="オープン",VLOOKUP($CO12,参照データ!$D$69:$M$86,10,0),IF($AC12="選手権",VLOOKUP($FC12,参照データ!$D$92:$O$121,11,0),""))</f>
        <v/>
      </c>
      <c r="AE12" s="446"/>
      <c r="AF12" s="396" t="str">
        <f>IF($AE12="オープン",VLOOKUP($CO12,参照データ!$D$69:$M$86,10,0),IF($AE12="選手権",VLOOKUP($FJ12,参照データ!$D$92:$O$121,12,0),""))</f>
        <v/>
      </c>
      <c r="AG12" s="446"/>
      <c r="AH12" s="396" t="str">
        <f>IF($AG12="オープン",VLOOKUP($CO12,参照データ!$D$69:$M$86,10,0),IF($AG12="選手権",VLOOKUP($FJ12,参照データ!$D$92:$O$121,12,0),""))</f>
        <v/>
      </c>
      <c r="AI12" s="446"/>
      <c r="AJ12" s="447"/>
      <c r="AK12" s="396" t="str">
        <f t="shared" ref="AK12:AK43" si="3">IF($AI12="オープン",VLOOKUP($AJ12,$CZ:$DA,2,0),IF($AI12="選手権",VLOOKUP($AJ12,$FO:$FP,2,0),""))</f>
        <v/>
      </c>
      <c r="AL12" s="587"/>
      <c r="AM12" s="588" t="str">
        <f>IF($BJ12=0,"",DATEDIF($BJ12,参照データ!$D$17,"Y"))</f>
        <v/>
      </c>
      <c r="AN12" s="450"/>
      <c r="AO12" s="702" t="str">
        <f>IF(AN12="","",IF($BK12="男子",VLOOKUP($DI12,参照データ!$D$128:$M$145,10,FALSE),VLOOKUP($DH12,参照データ!$D$128:$M$145,10,FALSE)))</f>
        <v/>
      </c>
      <c r="AP12" s="450"/>
      <c r="AQ12" s="702" t="str">
        <f>IF(AP12="","",IF($BK12="男子",VLOOKUP($DI12,参照データ!$D$128:$M$145,10,FALSE),VLOOKUP($DH12,参照データ!$D$128:$M$145,10,FALSE)))</f>
        <v/>
      </c>
      <c r="AR12" s="450"/>
      <c r="AS12" s="702" t="str">
        <f>IF(AR12="","",IF($BK12="男子",VLOOKUP($DI12,参照データ!$D$128:$M$145,10,FALSE),VLOOKUP($DH12,参照データ!$D$128:$M$145,10,FALSE)))</f>
        <v/>
      </c>
      <c r="AT12" s="450"/>
      <c r="AU12" s="702" t="str">
        <f>IF(AT12="","",IF($BK12="男子",VLOOKUP($DI12,参照データ!$D$128:$M$145,10,FALSE),VLOOKUP($DH12,参照データ!$D$128:$M$145,10,FALSE)))</f>
        <v/>
      </c>
      <c r="AV12" s="448"/>
      <c r="AW12" s="448"/>
      <c r="AX12" s="688" t="str">
        <f>IF($AV12="○",VLOOKUP($AW12,$DS:$DT,2,0),"")</f>
        <v/>
      </c>
      <c r="AY12" s="448"/>
      <c r="AZ12" s="448"/>
      <c r="BA12" s="688" t="str">
        <f t="shared" ref="BA12:BA23" si="4">IF($AY12="○",VLOOKUP($AZ12,$EA:$EB,2,0),"")</f>
        <v/>
      </c>
      <c r="BB12" s="677"/>
      <c r="BC12" s="724"/>
      <c r="BD12" s="640"/>
      <c r="BE12" s="623"/>
      <c r="BF12" s="365"/>
      <c r="BG12" s="366"/>
      <c r="BI12" s="480" t="s">
        <v>483</v>
      </c>
      <c r="BJ12">
        <f>VALUE($G12)</f>
        <v>0</v>
      </c>
      <c r="BK12" t="str">
        <f>IF($D12="","",$F12)</f>
        <v/>
      </c>
      <c r="BL12" s="146"/>
      <c r="BO12" s="61" t="str">
        <f>IF($BJ12=0,"",IF(AND($I12&gt;=6,$I12&lt;=19),VLOOKUP($I12,参照データ!$B$28:$C$41,2,0),IF($I12&lt;6,6,19)))</f>
        <v/>
      </c>
      <c r="BP12" s="178" t="str">
        <f>IF($J12=$BI$12,VLOOKUP($BO12,参照データ!$C$28:$I$41,2,0),"")</f>
        <v/>
      </c>
      <c r="BQ12" s="169" t="str">
        <f>IF($K12=$BI$12,VLOOKUP($BO12,参照データ!$C$28:$I$41,3,0),"")</f>
        <v/>
      </c>
      <c r="BR12" s="169" t="str">
        <f>IF($L12=$BI$12,VLOOKUP($BO12,参照データ!$C$28:$I$41,4,0),"")</f>
        <v/>
      </c>
      <c r="BS12" s="169" t="str">
        <f>IF($M12=$BI$12,VLOOKUP($BO12,参照データ!$C$28:$I$41,5,0),"")</f>
        <v/>
      </c>
      <c r="BT12" s="169" t="str">
        <f>IF($N12=$BI$12,VLOOKUP($BO12,参照データ!$C$28:$I$41,6,0),"")</f>
        <v/>
      </c>
      <c r="BU12" s="179" t="str">
        <f>IF($O12=$BI$12,VLOOKUP($BO12,参照データ!$C$28:$I$41,7,0),"")</f>
        <v/>
      </c>
      <c r="BV12" s="178" t="str">
        <f>IF($J12=$BI$13,VLOOKUP($BO12,参照データ!$C$28:$I$41,2,0),"")</f>
        <v/>
      </c>
      <c r="BW12" s="169" t="str">
        <f>IF($K12=$BI$13,VLOOKUP($BO12,参照データ!$C$28:$I$41,3,0),"")</f>
        <v/>
      </c>
      <c r="BX12" s="169" t="str">
        <f>IF($L12=$BI$13,VLOOKUP($BO12,参照データ!$C$28:$I$41,4,0),"")</f>
        <v/>
      </c>
      <c r="BY12" s="169" t="str">
        <f>IF($M12=$BI$13,VLOOKUP($BO12,参照データ!$C$28:$I$41,5,0),"")</f>
        <v/>
      </c>
      <c r="BZ12" s="169" t="str">
        <f>IF($N12=$BI$13,VLOOKUP($BO12,参照データ!$C$28:$I$41,6,0),"")</f>
        <v/>
      </c>
      <c r="CA12" s="179" t="str">
        <f>IF($O12=$BI$13,VLOOKUP($BO12,参照データ!$C$28:$I$41,7,0),"")</f>
        <v/>
      </c>
      <c r="CB12" s="271" t="str">
        <f>IF($P12="○",1,"")</f>
        <v/>
      </c>
      <c r="CC12" s="177" t="str">
        <f>IF($Q12="入門",VLOOKUP($BO12,参照データ!$C$47:$U$60,2,0),IF($Q12="初級",VLOOKUP($BO12,参照データ!$C$47:$U$60,3,0),IF($Q12="中級",VLOOKUP($BO12,参照データ!$C$47:$U$60,4,0),IF($Q12="上級",VLOOKUP($BO12,参照データ!$C$47:$U$60,5,0),""))))</f>
        <v/>
      </c>
      <c r="CD12" s="177" t="str">
        <f>IF($R12="初級",VLOOKUP($BO12,参照データ!$C$47:$U$60,6,0),IF($R12="中級",VLOOKUP($BO12,参照データ!$C$47:$U$60,7,0),IF($R12="上級",VLOOKUP($BO12,参照データ!$C$47:$U$60,8,0),"")))</f>
        <v/>
      </c>
      <c r="CE12" s="177" t="str">
        <f>IF($S12="初級",VLOOKUP($BO12,参照データ!$C$47:$U$60,9,0),IF($S12="上級",VLOOKUP($BO12,参照データ!$C$47:$U$60,10,0),""))</f>
        <v/>
      </c>
      <c r="CF12" s="177" t="str">
        <f>IF($T12="初級",VLOOKUP($BO12,参照データ!$C$47:$U$60,11,0),IF($T12="中級",VLOOKUP($BO12,参照データ!$C$47:$U$60,12,0),IF($T12="上級",VLOOKUP($BO12,参照データ!$C$47:$U$60,13,0),"")))</f>
        <v/>
      </c>
      <c r="CG12" s="177" t="str">
        <f>IF($U12="初級",VLOOKUP($BO12,参照データ!$C$47:$U$60,14,0),IF($U12="中級",VLOOKUP($BO12,参照データ!$C$47:$U$60,15,0),IF($U12="上級",VLOOKUP($BO12,参照データ!$C$47:$U$60,16,0),"")))</f>
        <v/>
      </c>
      <c r="CH12" s="55" t="str">
        <f t="shared" ref="CH12:CH71" si="5">IF($W12="","",$W12)</f>
        <v/>
      </c>
      <c r="CI12" s="55" t="str">
        <f>IF($V12="初級",VLOOKUP($BO12,参照データ!$C$47:$U$60,17,0),IF($V12="中級",VLOOKUP($BO12,参照データ!$C$47:$U$60,18,0),IF($V12="上級",VLOOKUP($BO12,参照データ!$C$47:$U$60,19,0),"")))</f>
        <v/>
      </c>
      <c r="CJ12" s="919">
        <v>1</v>
      </c>
      <c r="CK12" s="72" t="s">
        <v>236</v>
      </c>
      <c r="CL12" s="151" t="str">
        <f t="shared" ref="CL12:CL71" si="6">IF(COUNTIF($CH$12:$CI$71,$CK12)&gt;=1,VLOOKUP($CK12,$CH$12:$CI$71,2,0),"")</f>
        <v/>
      </c>
      <c r="CM12" s="871" t="str">
        <f>IF(OR($CL12="",$CL13=""),"",IF($CL12&gt;$CL13,$CL12,$CL13))</f>
        <v/>
      </c>
      <c r="CO12" s="61">
        <f>IF(AND($BJ12&gt;=参照データ!$C$71,$BJ12&lt;=参照データ!$C$69),1,IF(AND($BJ12&gt;=参照データ!$C$74,$BJ12&lt;=参照データ!$C$72),2,IF(AND($BJ12&gt;=参照データ!$C$77,$BJ12&lt;=参照データ!$C$75),3,IF(AND($BJ12&gt;=参照データ!$C$80,$BJ12&lt;=参照データ!$C$78),4,IF(AND($BJ12&gt;=参照データ!$C$83,$BJ12&lt;=参照データ!$C$81),5,IF(AND($BJ12&gt;0,$BJ12&lt;=参照データ!$C$84),6,""))))))</f>
        <v>5</v>
      </c>
      <c r="CP12" s="160" t="str">
        <f>IF($Y12="オープン",(VLOOKUP($CO12,参照データ!$D$69:$J$86,2,0)),"")</f>
        <v/>
      </c>
      <c r="CQ12" s="79" t="str">
        <f>IF($CP12="","","S")</f>
        <v/>
      </c>
      <c r="CR12" s="78" t="str">
        <f>IF($AA12="オープン",(VLOOKUP($CO12,参照データ!$D$69:$J$86,3,0)),"")</f>
        <v/>
      </c>
      <c r="CS12" s="79" t="str">
        <f>IF($CR12="","","2B")</f>
        <v/>
      </c>
      <c r="CT12" s="78" t="str">
        <f>IF($AC12="オープン",(VLOOKUP($CO12,参照データ!$D$69:$J$86,4,0)),"")</f>
        <v/>
      </c>
      <c r="CU12" s="79" t="str">
        <f>IF($CT12="","","3B")</f>
        <v/>
      </c>
      <c r="CV12" s="78" t="str">
        <f>IF($AE12="オープン",(VLOOKUP($CO12,参照データ!$D$69:$J$86,5,0)),"")</f>
        <v/>
      </c>
      <c r="CW12" s="79" t="str">
        <f t="shared" ref="CW12:CW71" si="7">IF($CV12="","","SS")</f>
        <v/>
      </c>
      <c r="CX12" s="78" t="str">
        <f>IF($AG12="オープン",(VLOOKUP($CO12,参照データ!$D$69:$J$86,6,0)),"")</f>
        <v/>
      </c>
      <c r="CY12" s="79" t="str">
        <f>IF($CX12="","","D")</f>
        <v/>
      </c>
      <c r="CZ12" s="38" t="str">
        <f>IF($AI12="オープン",$AJ12,"")</f>
        <v/>
      </c>
      <c r="DA12" s="37" t="str">
        <f>IFERROR(VLOOKUP($CZ12,$DD:$DG,4,0),"")</f>
        <v/>
      </c>
      <c r="DB12" s="79" t="str">
        <f>IF($DA12="","","P")</f>
        <v/>
      </c>
      <c r="DC12" s="869">
        <v>1</v>
      </c>
      <c r="DD12" s="83" t="s">
        <v>86</v>
      </c>
      <c r="DE12" s="84" t="str">
        <f>IFERROR(INDEX($CO:$CO,MATCH($DD12,$CZ:$CZ,0)),"")</f>
        <v/>
      </c>
      <c r="DF12" s="870" t="e">
        <f>IF($DE12&gt;$DE13,VLOOKUP($DE12,参照データ!$D$69:$J$86,7,0),VLOOKUP($DE13,参照データ!$D$69:$J$86,7,0))</f>
        <v>#N/A</v>
      </c>
      <c r="DG12" s="350" t="str">
        <f>IFERROR(VLOOKUP($DF12,参照データ!$J$69:$M$86,4,0),"")</f>
        <v/>
      </c>
      <c r="DH12" s="523">
        <f>IF(AND($BJ12&gt;=参照データ!$C$130,$BJ12&lt;=参照データ!$C$128),1,IF(AND($BJ12&gt;=参照データ!$C$133,$BJ12&lt;=参照データ!$C$131),2,IF(AND($BJ12&gt;=参照データ!$C$139,$BJ12&lt;=参照データ!$C$137),3,IF(AND($BJ12&gt;0,$BJ12&lt;=参照データ!$C$140),4,""))))</f>
        <v>1</v>
      </c>
      <c r="DI12" s="523">
        <f>IF(OR(DH12=1,DH12=2),7,IF(OR(DH12=3,DH12=4),8,""))</f>
        <v>7</v>
      </c>
      <c r="DJ12" s="523" t="str">
        <f>IF(GQ12&lt;24,"",IF(GQ12&gt;=36,3,2))</f>
        <v/>
      </c>
      <c r="DK12" s="524" t="str">
        <f>IF($AN12="","",IF(AND($AN12="○",$BK12="男子"),VLOOKUP($DI12,参照データ!$D$128:$J$145,3,FALSE),VLOOKUP($DH12,参照データ!$D$128:$J$145,3,FALSE)))</f>
        <v/>
      </c>
      <c r="DL12" s="525" t="str">
        <f>IF(DK12="","","IB-S")</f>
        <v/>
      </c>
      <c r="DM12" s="524" t="str">
        <f>IF($AP12="","",IF(AND($AP12="○",$BK12="男子"),VLOOKUP($DI12,参照データ!$D$128:$J$145,4,FALSE),VLOOKUP($DH12,参照データ!$D$128:$J$145,4,FALSE)))</f>
        <v/>
      </c>
      <c r="DN12" s="525" t="str">
        <f>IF(DM12="","","IB-2B")</f>
        <v/>
      </c>
      <c r="DO12" s="524" t="str">
        <f>IF($AR12="","",IF(AND($AR12="○",$BK12="男子"),VLOOKUP($DI12,参照データ!$D$128:$J$145,5,FALSE),VLOOKUP($DH12,参照データ!$D$128:$J$145,5,FALSE)))</f>
        <v/>
      </c>
      <c r="DP12" s="525" t="str">
        <f>IF(DO12="","","IB-3B")</f>
        <v/>
      </c>
      <c r="DQ12" s="524" t="str">
        <f>IF($AT12="","",IF(AND($AT12="○",$BK12="男子"),VLOOKUP($DI12,参照データ!$D$128:$J$145,6,FALSE),VLOOKUP($DH12,参照データ!$D$128:$J$145,6,FALSE)))</f>
        <v/>
      </c>
      <c r="DR12" s="525" t="str">
        <f>IF(DQ12="","","FS")</f>
        <v/>
      </c>
      <c r="DS12" s="526" t="str">
        <f>IF($AV12="○",$AW12,"")</f>
        <v/>
      </c>
      <c r="DT12" s="527" t="str">
        <f>IFERROR(VLOOKUP($DS12,$DW:$DZ,4,0),"")</f>
        <v/>
      </c>
      <c r="DU12" s="528" t="str">
        <f>IF($DT12="","","FP")</f>
        <v/>
      </c>
      <c r="DV12" s="986">
        <v>1</v>
      </c>
      <c r="DW12" s="529" t="s">
        <v>981</v>
      </c>
      <c r="DX12" s="530" t="str">
        <f t="shared" ref="DX12:DX25" si="8">IFERROR(INDEX($DH:$DH,MATCH($DW12,$DS:$DS,0)),"")</f>
        <v/>
      </c>
      <c r="DY12" s="875" t="e">
        <f>IF($DX12&gt;$DX13,VLOOKUP($DX12,参照データ!$D$128:$K$145,7,0),VLOOKUP($DX13,参照データ!$D$128:$K$145,7,0))</f>
        <v>#N/A</v>
      </c>
      <c r="DZ12" s="692" t="str">
        <f>IFERROR(VLOOKUP($DY12,参照データ!$J$128:$N$145,5,0),"")</f>
        <v/>
      </c>
      <c r="EA12" s="526" t="str">
        <f t="shared" ref="EA12:EA23" si="9">IF($AY12="○",$AZ12,"")</f>
        <v/>
      </c>
      <c r="EB12" s="527" t="str">
        <f t="shared" ref="EB12:EB23" si="10">IFERROR(VLOOKUP($EA12,$EE:$EI,5,0),"")</f>
        <v/>
      </c>
      <c r="EC12" s="528" t="str">
        <f t="shared" ref="EC12:EC23" si="11">IF($EI12="","","DT")</f>
        <v/>
      </c>
      <c r="ED12" s="986">
        <v>1</v>
      </c>
      <c r="EE12" s="529" t="s">
        <v>981</v>
      </c>
      <c r="EF12" s="529" t="str">
        <f t="shared" ref="EF12:EF23" si="12">IFERROR(INDEX($AM:$AM,MATCH($EE12,$EA:$EA,0)),"")</f>
        <v/>
      </c>
      <c r="EG12" s="530" t="str">
        <f>IF(SUM(EF12:EF13)&lt;24,"",IF(SUM(EF12:EF13)&gt;=36,3,2))</f>
        <v/>
      </c>
      <c r="EH12" s="875" t="e">
        <f>IF($EG12&gt;$EG13,VLOOKUP($EG12,参照データ!$D$128:$K$145,8,0),VLOOKUP($EG13,参照データ!$D$128:$K$145,8,0))</f>
        <v>#N/A</v>
      </c>
      <c r="EI12" s="527" t="str">
        <f>IFERROR(VLOOKUP($EH12,参照データ!$K$128:$N$145,4,0),"")</f>
        <v/>
      </c>
      <c r="EJ12" s="555" t="str">
        <f t="shared" ref="EJ12:EJ71" si="13">IF($BG11="","",$BG11)</f>
        <v/>
      </c>
      <c r="EK12" s="556" t="s">
        <v>1130</v>
      </c>
      <c r="EL12" s="865">
        <v>1</v>
      </c>
      <c r="EM12" s="557" t="s">
        <v>750</v>
      </c>
      <c r="EN12" s="558" t="str">
        <f>IF(COUNTIF($BB$12:$BB$71,EM12)&gt;=1,"○","")</f>
        <v/>
      </c>
      <c r="EO12" s="866" t="str">
        <f>IF(COUNTIF(EN12:EN21,"○")&gt;=1,"TT","")</f>
        <v/>
      </c>
      <c r="EP12" s="555" t="str">
        <f t="shared" ref="EP12:EP43" si="14">IF($BG11="","",$BG11)</f>
        <v/>
      </c>
      <c r="EQ12" s="556" t="s">
        <v>1206</v>
      </c>
      <c r="ER12" s="865">
        <v>1</v>
      </c>
      <c r="ES12" s="557" t="s">
        <v>750</v>
      </c>
      <c r="ET12" s="558" t="str">
        <f>IF(COUNTIF($BC$12:$BC$71,ES12)&gt;=1,"○","")</f>
        <v/>
      </c>
      <c r="EU12" s="866" t="str">
        <f>IF(COUNTIF(ET12:ET21,"○")&gt;=1,"FT","")</f>
        <v/>
      </c>
      <c r="EV12" s="38">
        <f t="shared" ref="EV12:EV43" si="15">IF($BF11="","",AW11)</f>
        <v>0</v>
      </c>
      <c r="EW12" s="552" t="s">
        <v>860</v>
      </c>
      <c r="EX12" s="832">
        <v>1</v>
      </c>
      <c r="EY12" s="553" t="s">
        <v>750</v>
      </c>
      <c r="EZ12" s="554" t="str">
        <f>IF(COUNTIF($BD$12:$BD$71,EY12)&gt;=1,"○","")</f>
        <v/>
      </c>
      <c r="FA12" s="834" t="str">
        <f>IF(COUNTIF($EZ$12:$EZ$43,"○")&gt;=1,"AG","")</f>
        <v/>
      </c>
      <c r="FB12" t="str">
        <f>IF($FC12="","",DATEDIF($BJ12,参照データ!$D$19,"Y"))</f>
        <v/>
      </c>
      <c r="FC12" s="298" t="str">
        <f>IFERROR(IF($BK12="男子",VLOOKUP($FJ12,参照データ!$D$92:$E$121,2,0),$FJ12),0)</f>
        <v/>
      </c>
      <c r="FD12" s="92" t="str">
        <f>IF($Y12="選手権",(VLOOKUP($FC12,参照データ!$D$92:$K$121,3,0)),"")</f>
        <v/>
      </c>
      <c r="FE12" s="93" t="str">
        <f t="shared" ref="FE12:FE43" si="16">IF($FD12="","",IF($F12="","S","MS"))</f>
        <v/>
      </c>
      <c r="FF12" s="92" t="str">
        <f>IF($AA12="選手権",(VLOOKUP($FC12,参照データ!$D$92:$K$121,4,0)),"")</f>
        <v/>
      </c>
      <c r="FG12" s="93" t="str">
        <f t="shared" ref="FG12:FG43" si="17">IF($FF12="","",IF($F12="","2B","M2B"))</f>
        <v/>
      </c>
      <c r="FH12" s="92" t="str">
        <f>IF($AC12="選手権",(VLOOKUP($FC12,参照データ!$D$92:$K$121,5,0)),"")</f>
        <v/>
      </c>
      <c r="FI12" s="93" t="str">
        <f t="shared" ref="FI12:FI43" si="18">IF($FH12="","",IF($F12="","3B","M3B"))</f>
        <v/>
      </c>
      <c r="FJ12" s="61" t="str">
        <f>IF(AND($BJ12&gt;=参照データ!$C$94,$BJ12&lt;=参照データ!$C$92),1,IF(AND($BJ12&gt;=参照データ!$C$97,$BJ12&lt;=参照データ!$C$95),2,IF(AND($BJ12&gt;=参照データ!$C$103,$BJ12&lt;=参照データ!$C$101),3,IF(AND($BJ12&gt;=参照データ!$C$109,$BJ12&lt;=参照データ!$C$107),4,IF(AND($BJ12&gt;=参照データ!$C$115,$BJ12&lt;=参照データ!$C$113),5,IF(AND($BJ12&gt;0,$BJ12&lt;=参照データ!$C$116),6,""))))))</f>
        <v/>
      </c>
      <c r="FK12" s="92" t="str">
        <f>IF($AE12="選手権",(VLOOKUP($FJ12,参照データ!$D$92:$K$121,6,0)),"")</f>
        <v/>
      </c>
      <c r="FL12" s="93" t="str">
        <f t="shared" ref="FL12:FL71" si="19">IF($FK12="","","SS")</f>
        <v/>
      </c>
      <c r="FM12" s="92" t="str">
        <f>IF($AG12="選手権",(VLOOKUP($FJ12,参照データ!$D$92:$K$121,7,0)),"")</f>
        <v/>
      </c>
      <c r="FN12" s="93" t="str">
        <f>IF($FM12="","","D")</f>
        <v/>
      </c>
      <c r="FO12" s="38" t="str">
        <f>IF($AI12="選手権",$AJ12,"")</f>
        <v/>
      </c>
      <c r="FP12" s="37" t="str">
        <f>IFERROR(VLOOKUP($FO12,$FS:$FV,4,0),"")</f>
        <v/>
      </c>
      <c r="FQ12" s="93" t="str">
        <f>IF($FP12="","","P")</f>
        <v/>
      </c>
      <c r="FR12" s="975">
        <v>1</v>
      </c>
      <c r="FS12" s="97" t="s">
        <v>72</v>
      </c>
      <c r="FT12" s="98" t="str">
        <f t="shared" ref="FT12:FT43" si="20">IFERROR(INDEX($FJ:$FJ,MATCH($FS12,$FO:$FO,0)),"")</f>
        <v/>
      </c>
      <c r="FU12" s="977" t="e">
        <f>IF($FT12&gt;$FT13,VLOOKUP($FT12,参照データ!$D$92:$K$121,8,0),VLOOKUP($FT13,参照データ!$D$92:$K$121,8,0))</f>
        <v>#N/A</v>
      </c>
      <c r="FV12" s="356" t="str">
        <f>IFERROR(VLOOKUP($FU12,参照データ!$K$92:$O$121,5,0),"")</f>
        <v/>
      </c>
      <c r="FY12" s="39">
        <f>(COUNTIF($J12:$O12,"&lt;&gt;"))*参照データ!$E$3</f>
        <v>0</v>
      </c>
      <c r="FZ12" s="267" t="str">
        <f>IF($P12="○",参照データ!$E$4,"")</f>
        <v/>
      </c>
      <c r="GA12" s="19">
        <f>(SUM(COUNTIF($Q12:$U12,{"入門","初級"}))*参照データ!$E$9)+(SUM(COUNTIF($Q12:$U12,{"中級","上級"})*参照データ!$E$10))</f>
        <v>0</v>
      </c>
      <c r="GB12" s="19">
        <f>IFERROR(VLOOKUP($V12,参照データ!$D$9:$J$11,7,0),0)</f>
        <v>0</v>
      </c>
      <c r="GC12" s="19">
        <f>((COUNTIF($Y12:$AG12,"オープン"))*参照データ!$E$12)</f>
        <v>0</v>
      </c>
      <c r="GD12" s="19" t="str">
        <f>(IF($AI12="オープン",参照データ!$J$12,""))</f>
        <v/>
      </c>
      <c r="GE12" s="19">
        <f>(COUNTIF($AN12:$AU12,"○")*参照データ!$E$22)</f>
        <v>0</v>
      </c>
      <c r="GF12" s="19">
        <f>(COUNTIF($AV12:$BA12,"○")*参照データ!$I$22)</f>
        <v>0</v>
      </c>
      <c r="GI12" s="19">
        <f>((COUNTIF($Y12:$AG12,"選手権"))*参照データ!$E$13)</f>
        <v>0</v>
      </c>
      <c r="GJ12" s="19" t="str">
        <f>(IF($AI12="選手権",参照データ!$J$13,""))</f>
        <v/>
      </c>
      <c r="GK12" s="106" cm="1">
        <f t="array" ref="GK12">SUM(IF(ISERROR(FY12:GJ12),0,(FY12:GJ12)))</f>
        <v>0</v>
      </c>
      <c r="GL12" s="19"/>
      <c r="GM12" s="19">
        <f>COUNTA($J12:$O12)</f>
        <v>0</v>
      </c>
      <c r="GN12" s="19">
        <f>COUNTA($P12)</f>
        <v>0</v>
      </c>
      <c r="GO12" s="19">
        <f>COUNTA($Q12:$V12)</f>
        <v>0</v>
      </c>
      <c r="GP12" s="19">
        <f t="shared" ref="GP12:GP43" si="21">COUNTIF($Y12:$AV12,"オープン")</f>
        <v>0</v>
      </c>
      <c r="GQ12" s="19">
        <f>COUNTIF($Y12:$AI12,"選手権")</f>
        <v>0</v>
      </c>
      <c r="GR12" s="19">
        <f>COUNTIF($AN12:$AY12,"○")</f>
        <v>0</v>
      </c>
      <c r="GS12" s="19">
        <f>COUNTA($BB12)</f>
        <v>0</v>
      </c>
      <c r="GT12" s="19">
        <f>COUNTA($BC12)</f>
        <v>0</v>
      </c>
      <c r="GU12" s="19">
        <f>COUNTA($BD12)</f>
        <v>0</v>
      </c>
      <c r="GV12" t="str">
        <f t="shared" ref="GV12:GV43" si="22">IF($GQ12&gt;=2,$FE12&amp;$FG12&amp;$FI12&amp;$FQ12&amp;$FN12&amp;$FL12,"")</f>
        <v/>
      </c>
      <c r="GW12" t="str">
        <f>IF(GR12+$GS12+$GT12+$GU12&gt;=2,$DL12&amp;$DN12&amp;$DP12&amp;$DR12&amp;$DU12&amp;$EC12&amp;$GX12&amp;$GY12&amp;$GZ12,"")</f>
        <v/>
      </c>
      <c r="GX12" t="str">
        <f t="shared" ref="GX12:GX43" si="23">IF(GS12=1,"TT","")</f>
        <v/>
      </c>
      <c r="GY12" t="str">
        <f>IF(GT12=1,"FT","")</f>
        <v/>
      </c>
      <c r="GZ12" t="str">
        <f t="shared" ref="GZ12:GZ43" si="24">IF(GU12=1,"AG","")</f>
        <v/>
      </c>
    </row>
    <row r="13" spans="1:208" ht="18" customHeight="1" thickBot="1" x14ac:dyDescent="0.2">
      <c r="A13">
        <v>2</v>
      </c>
      <c r="B13" s="15" t="str">
        <f>IF(D13="","",IF(D13="重複","",COUNTIF(B$12:$B12,"&gt;0")+1))</f>
        <v/>
      </c>
      <c r="C13" s="713"/>
      <c r="D13" s="185"/>
      <c r="E13" s="185"/>
      <c r="F13" s="36"/>
      <c r="G13" s="47"/>
      <c r="H13" s="402">
        <f t="shared" si="2"/>
        <v>0</v>
      </c>
      <c r="I13" s="201" t="str">
        <f>IF($BJ13=0,"",DATEDIF($BJ13,参照データ!$D$16,"Y"))</f>
        <v/>
      </c>
      <c r="J13" s="41"/>
      <c r="K13" s="41"/>
      <c r="L13" s="41"/>
      <c r="M13" s="41"/>
      <c r="N13" s="41"/>
      <c r="O13" s="49"/>
      <c r="P13" s="395"/>
      <c r="Q13" s="51"/>
      <c r="R13" s="289"/>
      <c r="S13" s="289"/>
      <c r="T13" s="289"/>
      <c r="U13" s="290"/>
      <c r="V13" s="292"/>
      <c r="W13" s="295"/>
      <c r="Y13" s="446"/>
      <c r="Z13" s="396" t="str">
        <f>IF($Y13="オープン",VLOOKUP($CO13,参照データ!$D$69:$M$86,9,0),IF($Y13="選手権",VLOOKUP($FC13,参照データ!$D$92:$O$121,10,0),""))</f>
        <v/>
      </c>
      <c r="AA13" s="446"/>
      <c r="AB13" s="666" t="str">
        <f>IF($AA13="オープン",VLOOKUP($CO13,参照データ!$D$69:$M$86,10,0),IF($AA13="選手権",VLOOKUP($FC13,参照データ!$D$92:$O$121,11,0),""))</f>
        <v/>
      </c>
      <c r="AC13" s="669"/>
      <c r="AD13" s="396" t="str">
        <f>IF($AC13="オープン",VLOOKUP($CO13,参照データ!$D$69:$M$86,10,0),IF($AC13="選手権",VLOOKUP($FC13,参照データ!$D$92:$O$121,11,0),""))</f>
        <v/>
      </c>
      <c r="AE13" s="446"/>
      <c r="AF13" s="396" t="str">
        <f>IF($AE13="オープン",VLOOKUP($CO13,参照データ!$D$69:$M$86,10,0),IF($AE13="選手権",VLOOKUP($FJ13,参照データ!$D$92:$O$121,12,0),""))</f>
        <v/>
      </c>
      <c r="AG13" s="446"/>
      <c r="AH13" s="396" t="str">
        <f>IF($AG13="オープン",VLOOKUP($CO13,参照データ!$D$69:$M$86,10,0),IF($AG13="選手権",VLOOKUP($FJ13,参照データ!$D$92:$O$121,12,0),""))</f>
        <v/>
      </c>
      <c r="AI13" s="446"/>
      <c r="AJ13" s="449"/>
      <c r="AK13" s="396" t="str">
        <f t="shared" si="3"/>
        <v/>
      </c>
      <c r="AL13" s="587"/>
      <c r="AM13" s="588" t="str">
        <f>IF($BJ13=0,"",DATEDIF($BJ13,参照データ!$D$17,"Y"))</f>
        <v/>
      </c>
      <c r="AN13" s="450"/>
      <c r="AO13" s="591" t="str">
        <f>IF(AN13="","",IF($BK13="男子",VLOOKUP($DI13,参照データ!$D$128:$M$145,10,FALSE),VLOOKUP($DH13,参照データ!$D$128:$M$145,10,FALSE)))</f>
        <v/>
      </c>
      <c r="AP13" s="450"/>
      <c r="AQ13" s="591" t="str">
        <f>IF(AP13="","",IF($BK13="男子",VLOOKUP($DI13,参照データ!$D$128:$M$145,10,FALSE),VLOOKUP($DH13,参照データ!$D$128:$M$145,10,FALSE)))</f>
        <v/>
      </c>
      <c r="AR13" s="450"/>
      <c r="AS13" s="591" t="str">
        <f>IF(AR13="","",IF($BK13="男子",VLOOKUP($DI13,参照データ!$D$128:$M$145,10,FALSE),VLOOKUP($DH13,参照データ!$D$128:$M$145,10,FALSE)))</f>
        <v/>
      </c>
      <c r="AT13" s="450"/>
      <c r="AU13" s="591" t="str">
        <f>IF(AT13="","",IF($BK13="男子",VLOOKUP($DI13,参照データ!$D$128:$M$145,10,FALSE),VLOOKUP($DH13,参照データ!$D$128:$M$145,10,FALSE)))</f>
        <v/>
      </c>
      <c r="AV13" s="448"/>
      <c r="AW13" s="448"/>
      <c r="AX13" s="585" t="str">
        <f t="shared" ref="AX13:AX71" si="25">IF($AV13="○",VLOOKUP($AW13,$DS:$DT,2,0),"")</f>
        <v/>
      </c>
      <c r="AY13" s="448"/>
      <c r="AZ13" s="448"/>
      <c r="BA13" s="585" t="str">
        <f t="shared" si="4"/>
        <v/>
      </c>
      <c r="BB13" s="677"/>
      <c r="BC13" s="724"/>
      <c r="BD13" s="640"/>
      <c r="BE13" s="623"/>
      <c r="BF13" s="365"/>
      <c r="BG13" s="366"/>
      <c r="BI13" s="481" t="s">
        <v>722</v>
      </c>
      <c r="BJ13">
        <f>IF($D13="重複",VALUE($G12),VALUE($G13))</f>
        <v>0</v>
      </c>
      <c r="BK13" t="str">
        <f>IF($D13="","",IF($D13="重複",$F12,$F13))</f>
        <v/>
      </c>
      <c r="BL13" s="146"/>
      <c r="BO13" s="61" t="str">
        <f>IF($BJ13=0,"",IF(AND($I13&gt;=6,$I13&lt;=19),VLOOKUP($I13,参照データ!$B$28:$C$41,2,0),IF($I13&lt;6,6,19)))</f>
        <v/>
      </c>
      <c r="BP13" s="178" t="str">
        <f>IF($J13=$BI$12,VLOOKUP($BO13,参照データ!$C$28:$I$41,2,0),"")</f>
        <v/>
      </c>
      <c r="BQ13" s="169" t="str">
        <f>IF($K13=$BI$12,VLOOKUP($BO13,参照データ!$C$28:$I$41,3,0),"")</f>
        <v/>
      </c>
      <c r="BR13" s="169" t="str">
        <f>IF($L13=$BI$12,VLOOKUP($BO13,参照データ!$C$28:$I$41,4,0),"")</f>
        <v/>
      </c>
      <c r="BS13" s="169" t="str">
        <f>IF($M13=$BI$12,VLOOKUP($BO13,参照データ!$C$28:$I$41,5,0),"")</f>
        <v/>
      </c>
      <c r="BT13" s="169" t="str">
        <f>IF($N13=$BI$12,VLOOKUP($BO13,参照データ!$C$28:$I$41,6,0),"")</f>
        <v/>
      </c>
      <c r="BU13" s="179" t="str">
        <f>IF($O13=$BI$12,VLOOKUP($BO13,参照データ!$C$28:$I$41,7,0),"")</f>
        <v/>
      </c>
      <c r="BV13" s="178" t="str">
        <f>IF($J13=$BI$13,VLOOKUP($BO13,参照データ!$C$28:$I$41,2,0),"")</f>
        <v/>
      </c>
      <c r="BW13" s="169" t="str">
        <f>IF($K13=$BI$13,VLOOKUP($BO13,参照データ!$C$28:$I$41,3,0),"")</f>
        <v/>
      </c>
      <c r="BX13" s="169" t="str">
        <f>IF($L13=$BI$13,VLOOKUP($BO13,参照データ!$C$28:$I$41,4,0),"")</f>
        <v/>
      </c>
      <c r="BY13" s="169" t="str">
        <f>IF($M13=$BI$13,VLOOKUP($BO13,参照データ!$C$28:$I$41,5,0),"")</f>
        <v/>
      </c>
      <c r="BZ13" s="169" t="str">
        <f>IF($N13=$BI$13,VLOOKUP($BO13,参照データ!$C$28:$I$41,6,0),"")</f>
        <v/>
      </c>
      <c r="CA13" s="179" t="str">
        <f>IF($O13=$BI$13,VLOOKUP($BO13,参照データ!$C$28:$I$41,7,0),"")</f>
        <v/>
      </c>
      <c r="CB13" s="271" t="str">
        <f t="shared" ref="CB13:CB71" si="26">IF($P13="○",1,"")</f>
        <v/>
      </c>
      <c r="CC13" s="177" t="str">
        <f>IF($Q13="入門",VLOOKUP($BO13,参照データ!$C$47:$U$60,2,0),IF($Q13="初級",VLOOKUP($BO13,参照データ!$C$47:$U$60,3,0),IF($Q13="中級",VLOOKUP($BO13,参照データ!$C$47:$U$60,4,0),IF($Q13="上級",VLOOKUP($BO13,参照データ!$C$47:$U$60,5,0),""))))</f>
        <v/>
      </c>
      <c r="CD13" s="177" t="str">
        <f>IF($R13="初級",VLOOKUP($BO13,参照データ!$C$47:$U$60,6,0),IF($R13="中級",VLOOKUP($BO13,参照データ!$C$47:$U$60,7,0),IF($R13="上級",VLOOKUP($BO13,参照データ!$C$47:$U$60,8,0),"")))</f>
        <v/>
      </c>
      <c r="CE13" s="177" t="str">
        <f>IF($S13="初級",VLOOKUP($BO13,参照データ!$C$47:$U$60,9,0),IF($S13="上級",VLOOKUP($BO13,参照データ!$C$47:$U$60,10,0),""))</f>
        <v/>
      </c>
      <c r="CF13" s="177" t="str">
        <f>IF($T13="初級",VLOOKUP($BO13,参照データ!$C$47:$U$60,11,0),IF($T13="中級",VLOOKUP($BO13,参照データ!$C$47:$U$60,12,0),IF($T13="上級",VLOOKUP($BO13,参照データ!$C$47:$U$60,13,0),"")))</f>
        <v/>
      </c>
      <c r="CG13" s="177" t="str">
        <f>IF($U13="初級",VLOOKUP($BO13,参照データ!$C$47:$U$60,14,0),IF($U13="中級",VLOOKUP($BO13,参照データ!$C$47:$U$60,15,0),IF($U13="上級",VLOOKUP($BO13,参照データ!$C$47:$U$60,16,0),"")))</f>
        <v/>
      </c>
      <c r="CH13" s="55" t="str">
        <f t="shared" si="5"/>
        <v/>
      </c>
      <c r="CI13" s="55" t="str">
        <f>IF($V13="初級",VLOOKUP($BO13,参照データ!$C$47:$U$60,17,0),IF($V13="中級",VLOOKUP($BO13,参照データ!$C$47:$U$60,18,0),IF($V13="上級",VLOOKUP($BO13,参照データ!$C$47:$U$60,19,0),"")))</f>
        <v/>
      </c>
      <c r="CJ13" s="868"/>
      <c r="CK13" s="73" t="s">
        <v>237</v>
      </c>
      <c r="CL13" s="150" t="str">
        <f t="shared" si="6"/>
        <v/>
      </c>
      <c r="CM13" s="872"/>
      <c r="CO13" s="61">
        <f>IF(AND($BJ13&gt;=参照データ!$C$71,$BJ13&lt;=参照データ!$C$69),1,IF(AND($BJ13&gt;=参照データ!$C$74,$BJ13&lt;=参照データ!$C$72),2,IF(AND($BJ13&gt;=参照データ!$C$77,$BJ13&lt;=参照データ!$C$75),3,IF(AND($BJ13&gt;=参照データ!$C$80,$BJ13&lt;=参照データ!$C$78),4,IF(AND($BJ13&gt;=参照データ!$C$83,$BJ13&lt;=参照データ!$C$81),5,IF(AND($BJ13&gt;0,$BJ13&lt;=参照データ!$C$84),6,""))))))</f>
        <v>5</v>
      </c>
      <c r="CP13" s="160" t="str">
        <f>IF($Y13="オープン",(VLOOKUP($CO13,参照データ!$D$69:$J$86,2,0)),"")</f>
        <v/>
      </c>
      <c r="CQ13" s="79" t="str">
        <f t="shared" ref="CQ13:CQ71" si="27">IF($CP13="","","S")</f>
        <v/>
      </c>
      <c r="CR13" s="78" t="str">
        <f>IF($AA13="オープン",(VLOOKUP($CO13,参照データ!$D$69:$J$86,3,0)),"")</f>
        <v/>
      </c>
      <c r="CS13" s="79" t="str">
        <f t="shared" ref="CS13:CS71" si="28">IF($CR13="","","2B")</f>
        <v/>
      </c>
      <c r="CT13" s="78" t="str">
        <f>IF($AC13="オープン",(VLOOKUP($CO13,参照データ!$D$69:$J$86,4,0)),"")</f>
        <v/>
      </c>
      <c r="CU13" s="79" t="str">
        <f t="shared" ref="CU13:CU71" si="29">IF($CT13="","","3B")</f>
        <v/>
      </c>
      <c r="CV13" s="78" t="str">
        <f>IF($AE13="オープン",(VLOOKUP($CO13,参照データ!$D$69:$J$86,5,0)),"")</f>
        <v/>
      </c>
      <c r="CW13" s="79" t="str">
        <f t="shared" si="7"/>
        <v/>
      </c>
      <c r="CX13" s="78" t="str">
        <f>IF($AG13="オープン",(VLOOKUP($CO13,参照データ!$D$69:$J$86,6,0)),"")</f>
        <v/>
      </c>
      <c r="CY13" s="79" t="str">
        <f t="shared" ref="CY13:CY71" si="30">IF($CX13="","","D")</f>
        <v/>
      </c>
      <c r="CZ13" s="38" t="str">
        <f t="shared" ref="CZ13:CZ71" si="31">IF($AI13="オープン",$AJ13,"")</f>
        <v/>
      </c>
      <c r="DA13" s="37" t="str">
        <f t="shared" ref="DA13:DA71" si="32">IFERROR(VLOOKUP($CZ13,$DD:$DG,4,0),"")</f>
        <v/>
      </c>
      <c r="DB13" s="79" t="str">
        <f t="shared" ref="DB13:DB71" si="33">IF($DA13="","","P")</f>
        <v/>
      </c>
      <c r="DC13" s="858"/>
      <c r="DD13" s="85" t="s">
        <v>87</v>
      </c>
      <c r="DE13" s="86" t="str">
        <f t="shared" ref="DE13:DE71" si="34">IFERROR(INDEX($CO:$CO,MATCH($DD13,$CZ:$CZ,0)),"")</f>
        <v/>
      </c>
      <c r="DF13" s="860"/>
      <c r="DG13" s="350" t="str">
        <f>$DG12</f>
        <v/>
      </c>
      <c r="DH13" s="523">
        <f>IF(AND($BJ13&gt;=参照データ!$C$130,$BJ13&lt;=参照データ!$C$128),1,IF(AND($BJ13&gt;=参照データ!$C$133,$BJ13&lt;=参照データ!$C$131),2,IF(AND($BJ13&gt;=参照データ!$C$139,$BJ13&lt;=参照データ!$C$137),3,IF(AND($BJ13&gt;0,$BJ13&lt;=参照データ!$C$140),4,""))))</f>
        <v>1</v>
      </c>
      <c r="DI13" s="523">
        <f t="shared" ref="DI13:DI71" si="35">IF(OR(DH13=1,DH13=2),7,IF(OR(DH13=3,DH13=4),8,""))</f>
        <v>7</v>
      </c>
      <c r="DJ13" s="523" t="str">
        <f t="shared" ref="DJ13:DJ71" si="36">IF(GQ13&lt;24,"",IF(GQ13&gt;=36,3,2))</f>
        <v/>
      </c>
      <c r="DK13" s="524" t="str">
        <f>IF($AN13="","",IF(AND($AN13="○",$BK13="男子"),VLOOKUP($DI13,参照データ!$D$128:$J$145,3,FALSE),VLOOKUP($DH13,参照データ!$D$128:$J$145,3,FALSE)))</f>
        <v/>
      </c>
      <c r="DL13" s="525" t="str">
        <f t="shared" ref="DL13:DL71" si="37">IF(DK13="","","IB-S")</f>
        <v/>
      </c>
      <c r="DM13" s="524" t="str">
        <f>IF($AP13="","",IF(AND($AP13="○",$BK13="男子"),VLOOKUP($DI13,参照データ!$D$128:$J$145,4,FALSE),VLOOKUP($DH13,参照データ!$D$128:$J$145,4,FALSE)))</f>
        <v/>
      </c>
      <c r="DN13" s="525" t="str">
        <f t="shared" ref="DN13:DN71" si="38">IF(DM13="","","IB-2B")</f>
        <v/>
      </c>
      <c r="DO13" s="524" t="str">
        <f>IF($AR13="","",IF(AND($AR13="○",$BK13="男子"),VLOOKUP($DI13,参照データ!$D$128:$J$145,5,FALSE),VLOOKUP($DH13,参照データ!$D$128:$J$145,5,FALSE)))</f>
        <v/>
      </c>
      <c r="DP13" s="525" t="str">
        <f t="shared" ref="DP13:DP71" si="39">IF(DO13="","","IB-3B")</f>
        <v/>
      </c>
      <c r="DQ13" s="524" t="str">
        <f>IF($AT13="","",IF(AND($AT13="○",$BK13="男子"),VLOOKUP($DI13,参照データ!$D$128:$J$145,6,FALSE),VLOOKUP($DH13,参照データ!$D$128:$J$145,6,FALSE)))</f>
        <v/>
      </c>
      <c r="DR13" s="525" t="str">
        <f t="shared" ref="DR13:DR71" si="40">IF(DQ13="","","FS")</f>
        <v/>
      </c>
      <c r="DS13" s="526" t="str">
        <f t="shared" ref="DS13:DS71" si="41">IF($AV13="○",$AW13,"")</f>
        <v/>
      </c>
      <c r="DT13" s="527" t="str">
        <f t="shared" ref="DT13:DT71" si="42">IFERROR(VLOOKUP($DS13,$DW:$DZ,4,0),"")</f>
        <v/>
      </c>
      <c r="DU13" s="528" t="str">
        <f t="shared" ref="DU13:DU71" si="43">IF($DT13="","","FP")</f>
        <v/>
      </c>
      <c r="DV13" s="983"/>
      <c r="DW13" s="531" t="s">
        <v>867</v>
      </c>
      <c r="DX13" s="532" t="str">
        <f t="shared" si="8"/>
        <v/>
      </c>
      <c r="DY13" s="876"/>
      <c r="DZ13" s="692" t="str">
        <f>$DZ12</f>
        <v/>
      </c>
      <c r="EA13" s="526" t="str">
        <f t="shared" si="9"/>
        <v/>
      </c>
      <c r="EB13" s="527" t="str">
        <f t="shared" si="10"/>
        <v/>
      </c>
      <c r="EC13" s="528" t="str">
        <f t="shared" si="11"/>
        <v/>
      </c>
      <c r="ED13" s="983"/>
      <c r="EE13" s="531" t="s">
        <v>867</v>
      </c>
      <c r="EF13" s="531" t="str">
        <f t="shared" si="12"/>
        <v/>
      </c>
      <c r="EG13" s="532" t="str">
        <f>IF(SUM(EF12:EF13)&lt;24,"",IF(SUM(EF12:EF13)&gt;=36,3,2))</f>
        <v/>
      </c>
      <c r="EH13" s="876"/>
      <c r="EI13" s="527" t="str">
        <f>$EI12</f>
        <v/>
      </c>
      <c r="EJ13" s="555" t="str">
        <f t="shared" si="13"/>
        <v/>
      </c>
      <c r="EK13" s="556" t="str">
        <f t="shared" ref="EK13:EK71" si="44">IF(COUNTIF(EJ13,"*補*"),"",IF(EJ13="","","fst"))</f>
        <v/>
      </c>
      <c r="EL13" s="846"/>
      <c r="EM13" s="561" t="s">
        <v>751</v>
      </c>
      <c r="EN13" s="562" t="str">
        <f t="shared" ref="EN13:EN71" si="45">IF(COUNTIF($BB$12:$BB$71,EM13)&gt;=1,"○","")</f>
        <v/>
      </c>
      <c r="EO13" s="849"/>
      <c r="EP13" s="555" t="str">
        <f t="shared" si="14"/>
        <v/>
      </c>
      <c r="EQ13" s="556" t="str">
        <f t="shared" ref="EQ13:EQ71" si="46">IF(COUNTIF(EP13,"*補*"),"",IF(EP13="","","fst"))</f>
        <v/>
      </c>
      <c r="ER13" s="846"/>
      <c r="ES13" s="561" t="s">
        <v>751</v>
      </c>
      <c r="ET13" s="562" t="str">
        <f t="shared" ref="ET13:ET71" si="47">IF(COUNTIF($BC$12:$BC$71,ES13)&gt;=1,"○","")</f>
        <v/>
      </c>
      <c r="EU13" s="849"/>
      <c r="EV13" s="38" t="str">
        <f t="shared" si="15"/>
        <v/>
      </c>
      <c r="EW13" s="552" t="str">
        <f t="shared" ref="EW13:EW71" si="48">IF(COUNTIF(EV13,"*補*"),"",IF(EV13="","","aｇ"))</f>
        <v/>
      </c>
      <c r="EX13" s="833"/>
      <c r="EY13" s="559" t="s">
        <v>751</v>
      </c>
      <c r="EZ13" s="560" t="str">
        <f t="shared" ref="EZ13:EZ75" si="49">IF(COUNTIF($BD$12:$BD$71,EY13)&gt;=1,"○","")</f>
        <v/>
      </c>
      <c r="FA13" s="835"/>
      <c r="FB13" t="str">
        <f>IF($FC13="","",DATEDIF($BJ13,参照データ!$D$19,"Y"))</f>
        <v/>
      </c>
      <c r="FC13" s="298" t="str">
        <f>IFERROR(IF($BK13="男子",VLOOKUP($FJ13,参照データ!$D$92:$E$118,2,0),$FJ13),0)</f>
        <v/>
      </c>
      <c r="FD13" s="92" t="str">
        <f>IF($Y13="選手権",(VLOOKUP($FC13,参照データ!$D$92:$K$121,3,0)),"")</f>
        <v/>
      </c>
      <c r="FE13" s="93" t="str">
        <f t="shared" si="16"/>
        <v/>
      </c>
      <c r="FF13" s="92" t="str">
        <f>IF($AA13="選手権",(VLOOKUP($FC13,参照データ!$D$92:$K$121,4,0)),"")</f>
        <v/>
      </c>
      <c r="FG13" s="93" t="str">
        <f t="shared" si="17"/>
        <v/>
      </c>
      <c r="FH13" s="92" t="str">
        <f>IF($AC13="選手権",(VLOOKUP($FC13,参照データ!$D$92:$K$121,5,0)),"")</f>
        <v/>
      </c>
      <c r="FI13" s="93" t="str">
        <f t="shared" si="18"/>
        <v/>
      </c>
      <c r="FJ13" s="61" t="str">
        <f>IF(AND($BJ13&gt;=参照データ!$C$94,$BJ13&lt;=参照データ!$C$92),1,IF(AND($BJ13&gt;=参照データ!$C$97,$BJ13&lt;=参照データ!$C$95),2,IF(AND($BJ13&gt;=参照データ!$C$103,$BJ13&lt;=参照データ!$C$101),3,IF(AND($BJ13&gt;=参照データ!$C$109,$BJ13&lt;=参照データ!$C$107),4,IF(AND($BJ13&gt;=参照データ!$C$115,$BJ13&lt;=参照データ!$C$113),5,IF(AND($BJ13&gt;0,$BJ13&lt;=参照データ!$C$116),6,""))))))</f>
        <v/>
      </c>
      <c r="FK13" s="92" t="str">
        <f>IF($AE13="選手権",(VLOOKUP($FJ13,参照データ!$D$92:$K$121,6,0)),"")</f>
        <v/>
      </c>
      <c r="FL13" s="93" t="str">
        <f t="shared" si="19"/>
        <v/>
      </c>
      <c r="FM13" s="92" t="str">
        <f>IF($AG13="選手権",(VLOOKUP($FJ13,参照データ!$D$92:$K$121,7,0)),"")</f>
        <v/>
      </c>
      <c r="FN13" s="93" t="str">
        <f t="shared" ref="FN13:FN71" si="50">IF($FM13="","","D")</f>
        <v/>
      </c>
      <c r="FO13" s="38" t="str">
        <f t="shared" ref="FO13:FO71" si="51">IF($AI13="選手権",$AJ13,"")</f>
        <v/>
      </c>
      <c r="FP13" s="37" t="str">
        <f t="shared" ref="FP13:FP71" si="52">IFERROR(VLOOKUP($FO13,$FS:$FV,4,0),"")</f>
        <v/>
      </c>
      <c r="FQ13" s="93" t="str">
        <f t="shared" ref="FQ13:FQ71" si="53">IF($FP13="","","P")</f>
        <v/>
      </c>
      <c r="FR13" s="976"/>
      <c r="FS13" s="99" t="s">
        <v>73</v>
      </c>
      <c r="FT13" s="100" t="str">
        <f t="shared" si="20"/>
        <v/>
      </c>
      <c r="FU13" s="978"/>
      <c r="FV13" s="356" t="str">
        <f>$FV12</f>
        <v/>
      </c>
      <c r="FY13" s="40">
        <f>(COUNTIF($J13:$O13,"&lt;&gt;"))*参照データ!$E$3</f>
        <v>0</v>
      </c>
      <c r="FZ13" s="267" t="str">
        <f>IF($P13="○",参照データ!$E$4,"")</f>
        <v/>
      </c>
      <c r="GA13" s="19">
        <f>(SUM(COUNTIF($Q13:$U13,{"入門","初級"}))*参照データ!$E$9)+(SUM(COUNTIF($Q13:$U13,{"中級","上級"})*参照データ!$E$10))</f>
        <v>0</v>
      </c>
      <c r="GB13" s="19">
        <f>IFERROR(VLOOKUP($V13,参照データ!$D$9:$J$11,7,0),0)</f>
        <v>0</v>
      </c>
      <c r="GC13" s="19">
        <f>((COUNTIF($Y13:$AG13,"オープン"))*参照データ!$E$12)</f>
        <v>0</v>
      </c>
      <c r="GD13" s="19" t="str">
        <f>(IF($AI13="オープン",参照データ!$J$12,""))</f>
        <v/>
      </c>
      <c r="GE13" s="19">
        <f>(COUNTIF($AN13:$AU13,"○")*参照データ!$E$22)</f>
        <v>0</v>
      </c>
      <c r="GF13" s="19">
        <f>(COUNTIF($AV13:$BA13,"○")*参照データ!$I$22)</f>
        <v>0</v>
      </c>
      <c r="GI13" s="19">
        <f>((COUNTIF($Y13:$AG13,"選手権"))*参照データ!$E$13)</f>
        <v>0</v>
      </c>
      <c r="GJ13" s="19" t="str">
        <f>(IF($AI13="選手権",参照データ!$J$13,""))</f>
        <v/>
      </c>
      <c r="GK13" s="106">
        <f t="array" ref="GK13">SUM(IF(ISERROR(FY13:GJ13),0,(FY13:GJ13)))</f>
        <v>0</v>
      </c>
      <c r="GL13" s="19"/>
      <c r="GM13" s="19">
        <f t="shared" ref="GM13:GM71" si="54">COUNTA($J13:$O13)</f>
        <v>0</v>
      </c>
      <c r="GN13" s="19">
        <f t="shared" ref="GN13:GN71" si="55">COUNTA($P13)</f>
        <v>0</v>
      </c>
      <c r="GO13" s="19">
        <f t="shared" ref="GO13:GO71" si="56">COUNTA($Q13:$V13)</f>
        <v>0</v>
      </c>
      <c r="GP13" s="19">
        <f t="shared" si="21"/>
        <v>0</v>
      </c>
      <c r="GQ13" s="19">
        <f t="shared" ref="GQ13:GQ71" si="57">COUNTIF($Y13:$AI13,"選手権")</f>
        <v>0</v>
      </c>
      <c r="GR13" s="19">
        <f t="shared" ref="GR13:GR71" si="58">COUNTIF($AN13:$AY13,"○")</f>
        <v>0</v>
      </c>
      <c r="GS13" s="19">
        <f t="shared" ref="GS13:GS71" si="59">COUNTA($BB13)</f>
        <v>0</v>
      </c>
      <c r="GT13" s="19">
        <f t="shared" ref="GT13:GT71" si="60">COUNTA($BC13)</f>
        <v>0</v>
      </c>
      <c r="GU13" s="19">
        <f t="shared" ref="GU13:GU71" si="61">COUNTA($BD13)</f>
        <v>0</v>
      </c>
      <c r="GV13" t="str">
        <f t="shared" si="22"/>
        <v/>
      </c>
      <c r="GW13" t="str">
        <f t="shared" ref="GW13:GW71" si="62">IF(GR13+$GS13+$GT13+$GU13&gt;=2,$DL13&amp;$DN13&amp;$DP13&amp;$DR13&amp;$DU13&amp;$EC13&amp;$GX13&amp;$GY13&amp;$GZ13,"")</f>
        <v/>
      </c>
      <c r="GX13" t="str">
        <f t="shared" si="23"/>
        <v/>
      </c>
      <c r="GY13" t="str">
        <f t="shared" ref="GY13:GY71" si="63">IF(GT13=1,"FT","")</f>
        <v/>
      </c>
      <c r="GZ13" t="str">
        <f t="shared" si="24"/>
        <v/>
      </c>
    </row>
    <row r="14" spans="1:208" ht="18.75" customHeight="1" x14ac:dyDescent="0.15">
      <c r="A14">
        <v>3</v>
      </c>
      <c r="B14" s="15" t="str">
        <f>IF(D14="","",IF(D14="重複","",COUNTIF(B$12:$B13,"&gt;0")+1))</f>
        <v/>
      </c>
      <c r="C14" s="713"/>
      <c r="D14" s="185"/>
      <c r="E14" s="185"/>
      <c r="F14" s="36"/>
      <c r="G14" s="47"/>
      <c r="H14" s="402">
        <f t="shared" si="2"/>
        <v>0</v>
      </c>
      <c r="I14" s="201" t="str">
        <f>IF($BJ14=0,"",DATEDIF($BJ14,参照データ!$D$16,"Y"))</f>
        <v/>
      </c>
      <c r="J14" s="41"/>
      <c r="K14" s="41"/>
      <c r="L14" s="41"/>
      <c r="M14" s="41"/>
      <c r="N14" s="41"/>
      <c r="O14" s="49"/>
      <c r="P14" s="395"/>
      <c r="Q14" s="51"/>
      <c r="R14" s="289"/>
      <c r="S14" s="289"/>
      <c r="T14" s="289"/>
      <c r="U14" s="290"/>
      <c r="V14" s="292"/>
      <c r="W14" s="295"/>
      <c r="Y14" s="446"/>
      <c r="Z14" s="396" t="str">
        <f>IF($Y14="オープン",VLOOKUP($CO14,参照データ!$D$69:$M$86,9,0),IF($Y14="選手権",VLOOKUP($FC14,参照データ!$D$92:$O$121,10,0),""))</f>
        <v/>
      </c>
      <c r="AA14" s="446"/>
      <c r="AB14" s="666" t="str">
        <f>IF($AA14="オープン",VLOOKUP($CO14,参照データ!$D$69:$M$86,10,0),IF($AA14="選手権",VLOOKUP($FC14,参照データ!$D$92:$O$121,11,0),""))</f>
        <v/>
      </c>
      <c r="AC14" s="669"/>
      <c r="AD14" s="396" t="str">
        <f>IF($AC14="オープン",VLOOKUP($CO14,参照データ!$D$69:$M$86,10,0),IF($AC14="選手権",VLOOKUP($FC14,参照データ!$D$92:$O$121,11,0),""))</f>
        <v/>
      </c>
      <c r="AE14" s="446"/>
      <c r="AF14" s="396" t="str">
        <f>IF($AE14="オープン",VLOOKUP($CO14,参照データ!$D$69:$M$86,10,0),IF($AE14="選手権",VLOOKUP($FJ14,参照データ!$D$92:$O$121,12,0),""))</f>
        <v/>
      </c>
      <c r="AG14" s="446"/>
      <c r="AH14" s="396" t="str">
        <f>IF($AG14="オープン",VLOOKUP($CO14,参照データ!$D$69:$M$86,10,0),IF($AG14="選手権",VLOOKUP($FJ14,参照データ!$D$92:$O$121,12,0),""))</f>
        <v/>
      </c>
      <c r="AI14" s="446"/>
      <c r="AJ14" s="449"/>
      <c r="AK14" s="396" t="str">
        <f t="shared" si="3"/>
        <v/>
      </c>
      <c r="AL14" s="587"/>
      <c r="AM14" s="588" t="str">
        <f>IF($BJ14=0,"",DATEDIF($BJ14,参照データ!$D$17,"Y"))</f>
        <v/>
      </c>
      <c r="AN14" s="450"/>
      <c r="AO14" s="591" t="str">
        <f>IF(AN14="","",IF($BK14="男子",VLOOKUP($DI14,参照データ!$D$128:$M$145,10,FALSE),VLOOKUP($DH14,参照データ!$D$128:$M$145,10,FALSE)))</f>
        <v/>
      </c>
      <c r="AP14" s="450"/>
      <c r="AQ14" s="591" t="str">
        <f>IF(AP14="","",IF($BK14="男子",VLOOKUP($DI14,参照データ!$D$128:$M$145,10,FALSE),VLOOKUP($DH14,参照データ!$D$128:$M$145,10,FALSE)))</f>
        <v/>
      </c>
      <c r="AR14" s="450"/>
      <c r="AS14" s="591" t="str">
        <f>IF(AR14="","",IF($BK14="男子",VLOOKUP($DI14,参照データ!$D$128:$M$145,10,FALSE),VLOOKUP($DH14,参照データ!$D$128:$M$145,10,FALSE)))</f>
        <v/>
      </c>
      <c r="AT14" s="450"/>
      <c r="AU14" s="591" t="str">
        <f>IF(AT14="","",IF($BK14="男子",VLOOKUP($DI14,参照データ!$D$128:$M$145,10,FALSE),VLOOKUP($DH14,参照データ!$D$128:$M$145,10,FALSE)))</f>
        <v/>
      </c>
      <c r="AV14" s="448"/>
      <c r="AW14" s="448"/>
      <c r="AX14" s="585" t="str">
        <f t="shared" si="25"/>
        <v/>
      </c>
      <c r="AY14" s="448"/>
      <c r="AZ14" s="448"/>
      <c r="BA14" s="585" t="str">
        <f t="shared" si="4"/>
        <v/>
      </c>
      <c r="BB14" s="677"/>
      <c r="BC14" s="724"/>
      <c r="BD14" s="640"/>
      <c r="BE14" s="623"/>
      <c r="BF14" s="365"/>
      <c r="BG14" s="366"/>
      <c r="BI14" s="477" t="s">
        <v>158</v>
      </c>
      <c r="BJ14">
        <f>IF($D14="重複",VALUE($G13),VALUE($G14))</f>
        <v>0</v>
      </c>
      <c r="BK14" t="str">
        <f>IF($D14="","",IF($D14="重複",$F13,$F14))</f>
        <v/>
      </c>
      <c r="BL14" s="146"/>
      <c r="BO14" s="61" t="str">
        <f>IF($BJ14=0,"",IF(AND($I14&gt;=6,$I14&lt;=19),VLOOKUP($I14,参照データ!$B$28:$C$41,2,0),IF($I14&lt;6,6,19)))</f>
        <v/>
      </c>
      <c r="BP14" s="178" t="str">
        <f>IF($J14=$BI$12,VLOOKUP($BO14,参照データ!$C$28:$I$41,2,0),"")</f>
        <v/>
      </c>
      <c r="BQ14" s="169" t="str">
        <f>IF($K14=$BI$12,VLOOKUP($BO14,参照データ!$C$28:$I$41,3,0),"")</f>
        <v/>
      </c>
      <c r="BR14" s="169" t="str">
        <f>IF($L14=$BI$12,VLOOKUP($BO14,参照データ!$C$28:$I$41,4,0),"")</f>
        <v/>
      </c>
      <c r="BS14" s="169" t="str">
        <f>IF($M14=$BI$12,VLOOKUP($BO14,参照データ!$C$28:$I$41,5,0),"")</f>
        <v/>
      </c>
      <c r="BT14" s="169" t="str">
        <f>IF($N14=$BI$12,VLOOKUP($BO14,参照データ!$C$28:$I$41,6,0),"")</f>
        <v/>
      </c>
      <c r="BU14" s="179" t="str">
        <f>IF($O14=$BI$12,VLOOKUP($BO14,参照データ!$C$28:$I$41,7,0),"")</f>
        <v/>
      </c>
      <c r="BV14" s="178" t="str">
        <f>IF($J14=$BI$13,VLOOKUP($BO14,参照データ!$C$28:$I$41,2,0),"")</f>
        <v/>
      </c>
      <c r="BW14" s="169" t="str">
        <f>IF($K14=$BI$13,VLOOKUP($BO14,参照データ!$C$28:$I$41,3,0),"")</f>
        <v/>
      </c>
      <c r="BX14" s="169" t="str">
        <f>IF($L14=$BI$13,VLOOKUP($BO14,参照データ!$C$28:$I$41,4,0),"")</f>
        <v/>
      </c>
      <c r="BY14" s="169" t="str">
        <f>IF($M14=$BI$13,VLOOKUP($BO14,参照データ!$C$28:$I$41,5,0),"")</f>
        <v/>
      </c>
      <c r="BZ14" s="169" t="str">
        <f>IF($N14=$BI$13,VLOOKUP($BO14,参照データ!$C$28:$I$41,6,0),"")</f>
        <v/>
      </c>
      <c r="CA14" s="179" t="str">
        <f>IF($O14=$BI$13,VLOOKUP($BO14,参照データ!$C$28:$I$41,7,0),"")</f>
        <v/>
      </c>
      <c r="CB14" s="271" t="str">
        <f t="shared" si="26"/>
        <v/>
      </c>
      <c r="CC14" s="177" t="str">
        <f>IF($Q14="入門",VLOOKUP($BO14,参照データ!$C$47:$U$60,2,0),IF($Q14="初級",VLOOKUP($BO14,参照データ!$C$47:$U$60,3,0),IF($Q14="中級",VLOOKUP($BO14,参照データ!$C$47:$U$60,4,0),IF($Q14="上級",VLOOKUP($BO14,参照データ!$C$47:$U$60,5,0),""))))</f>
        <v/>
      </c>
      <c r="CD14" s="177" t="str">
        <f>IF($R14="初級",VLOOKUP($BO14,参照データ!$C$47:$U$60,6,0),IF($R14="中級",VLOOKUP($BO14,参照データ!$C$47:$U$60,7,0),IF($R14="上級",VLOOKUP($BO14,参照データ!$C$47:$U$60,8,0),"")))</f>
        <v/>
      </c>
      <c r="CE14" s="177" t="str">
        <f>IF($S14="初級",VLOOKUP($BO14,参照データ!$C$47:$U$60,9,0),IF($S14="上級",VLOOKUP($BO14,参照データ!$C$47:$U$60,10,0),""))</f>
        <v/>
      </c>
      <c r="CF14" s="177" t="str">
        <f>IF($T14="初級",VLOOKUP($BO14,参照データ!$C$47:$U$60,11,0),IF($T14="中級",VLOOKUP($BO14,参照データ!$C$47:$U$60,12,0),IF($T14="上級",VLOOKUP($BO14,参照データ!$C$47:$U$60,13,0),"")))</f>
        <v/>
      </c>
      <c r="CG14" s="177" t="str">
        <f>IF($U14="初級",VLOOKUP($BO14,参照データ!$C$47:$U$60,14,0),IF($U14="中級",VLOOKUP($BO14,参照データ!$C$47:$U$60,15,0),IF($U14="上級",VLOOKUP($BO14,参照データ!$C$47:$U$60,16,0),"")))</f>
        <v/>
      </c>
      <c r="CH14" s="55" t="str">
        <f t="shared" si="5"/>
        <v/>
      </c>
      <c r="CI14" s="55" t="str">
        <f>IF($V14="初級",VLOOKUP($BO14,参照データ!$C$47:$U$60,17,0),IF($V14="中級",VLOOKUP($BO14,参照データ!$C$47:$U$60,18,0),IF($V14="上級",VLOOKUP($BO14,参照データ!$C$47:$U$60,19,0),"")))</f>
        <v/>
      </c>
      <c r="CJ14" s="867">
        <v>2</v>
      </c>
      <c r="CK14" s="74" t="s">
        <v>238</v>
      </c>
      <c r="CL14" s="151" t="str">
        <f t="shared" si="6"/>
        <v/>
      </c>
      <c r="CM14" s="871" t="str">
        <f t="shared" ref="CM14" si="64">IF(OR($CL14="",$CL15=""),"",IF($CL14&gt;$CL15,$CL14,$CL15))</f>
        <v/>
      </c>
      <c r="CO14" s="61">
        <f>IF(AND($BJ14&gt;=参照データ!$C$71,$BJ14&lt;=参照データ!$C$69),1,IF(AND($BJ14&gt;=参照データ!$C$74,$BJ14&lt;=参照データ!$C$72),2,IF(AND($BJ14&gt;=参照データ!$C$77,$BJ14&lt;=参照データ!$C$75),3,IF(AND($BJ14&gt;=参照データ!$C$80,$BJ14&lt;=参照データ!$C$78),4,IF(AND($BJ14&gt;=参照データ!$C$83,$BJ14&lt;=参照データ!$C$81),5,IF(AND($BJ14&gt;0,$BJ14&lt;=参照データ!$C$84),6,""))))))</f>
        <v>5</v>
      </c>
      <c r="CP14" s="160" t="str">
        <f>IF($Y14="オープン",(VLOOKUP($CO14,参照データ!$D$69:$J$86,2,0)),"")</f>
        <v/>
      </c>
      <c r="CQ14" s="79" t="str">
        <f t="shared" si="27"/>
        <v/>
      </c>
      <c r="CR14" s="78" t="str">
        <f>IF($AA14="オープン",(VLOOKUP($CO14,参照データ!$D$69:$J$86,3,0)),"")</f>
        <v/>
      </c>
      <c r="CS14" s="79" t="str">
        <f t="shared" si="28"/>
        <v/>
      </c>
      <c r="CT14" s="78" t="str">
        <f>IF($AC14="オープン",(VLOOKUP($CO14,参照データ!$D$69:$J$86,4,0)),"")</f>
        <v/>
      </c>
      <c r="CU14" s="79" t="str">
        <f t="shared" si="29"/>
        <v/>
      </c>
      <c r="CV14" s="78" t="str">
        <f>IF($AE14="オープン",(VLOOKUP($CO14,参照データ!$D$69:$J$86,5,0)),"")</f>
        <v/>
      </c>
      <c r="CW14" s="79" t="str">
        <f t="shared" si="7"/>
        <v/>
      </c>
      <c r="CX14" s="78" t="str">
        <f>IF($AG14="オープン",(VLOOKUP($CO14,参照データ!$D$69:$J$86,6,0)),"")</f>
        <v/>
      </c>
      <c r="CY14" s="79" t="str">
        <f t="shared" si="30"/>
        <v/>
      </c>
      <c r="CZ14" s="38" t="str">
        <f t="shared" si="31"/>
        <v/>
      </c>
      <c r="DA14" s="37" t="str">
        <f t="shared" si="32"/>
        <v/>
      </c>
      <c r="DB14" s="79" t="str">
        <f t="shared" si="33"/>
        <v/>
      </c>
      <c r="DC14" s="857">
        <v>2</v>
      </c>
      <c r="DD14" s="87" t="s">
        <v>88</v>
      </c>
      <c r="DE14" s="88" t="str">
        <f t="shared" si="34"/>
        <v/>
      </c>
      <c r="DF14" s="859" t="e">
        <f>IF($DE14&gt;$DE15,VLOOKUP($DE14,参照データ!$D$69:$J$86,7,0),VLOOKUP($DE15,参照データ!$D$69:$J$86,7,0))</f>
        <v>#N/A</v>
      </c>
      <c r="DG14" s="350" t="str">
        <f>IFERROR(VLOOKUP($DF14,参照データ!$J$69:$M$86,4,0),"")</f>
        <v/>
      </c>
      <c r="DH14" s="523">
        <f>IF(AND($BJ14&gt;=参照データ!$C$130,$BJ14&lt;=参照データ!$C$128),1,IF(AND($BJ14&gt;=参照データ!$C$133,$BJ14&lt;=参照データ!$C$131),2,IF(AND($BJ14&gt;=参照データ!$C$139,$BJ14&lt;=参照データ!$C$137),3,IF(AND($BJ14&gt;0,$BJ14&lt;=参照データ!$C$140),4,""))))</f>
        <v>1</v>
      </c>
      <c r="DI14" s="523">
        <f t="shared" si="35"/>
        <v>7</v>
      </c>
      <c r="DJ14" s="523" t="str">
        <f t="shared" si="36"/>
        <v/>
      </c>
      <c r="DK14" s="524" t="str">
        <f>IF($AN14="","",IF(AND($AN14="○",$BK14="男子"),VLOOKUP($DI14,参照データ!$D$128:$J$145,3,FALSE),VLOOKUP($DH14,参照データ!$D$128:$J$145,3,FALSE)))</f>
        <v/>
      </c>
      <c r="DL14" s="525" t="str">
        <f t="shared" si="37"/>
        <v/>
      </c>
      <c r="DM14" s="524" t="str">
        <f>IF($AP14="","",IF(AND($AP14="○",$BK14="男子"),VLOOKUP($DI14,参照データ!$D$128:$J$145,4,FALSE),VLOOKUP($DH14,参照データ!$D$128:$J$145,4,FALSE)))</f>
        <v/>
      </c>
      <c r="DN14" s="525" t="str">
        <f t="shared" si="38"/>
        <v/>
      </c>
      <c r="DO14" s="524" t="str">
        <f>IF($AR14="","",IF(AND($AR14="○",$BK14="男子"),VLOOKUP($DI14,参照データ!$D$128:$J$145,5,FALSE),VLOOKUP($DH14,参照データ!$D$128:$J$145,5,FALSE)))</f>
        <v/>
      </c>
      <c r="DP14" s="525" t="str">
        <f t="shared" si="39"/>
        <v/>
      </c>
      <c r="DQ14" s="524" t="str">
        <f>IF($AT14="","",IF(AND($AT14="○",$BK14="男子"),VLOOKUP($DI14,参照データ!$D$128:$J$145,6,FALSE),VLOOKUP($DH14,参照データ!$D$128:$J$145,6,FALSE)))</f>
        <v/>
      </c>
      <c r="DR14" s="525" t="str">
        <f t="shared" si="40"/>
        <v/>
      </c>
      <c r="DS14" s="526" t="str">
        <f t="shared" si="41"/>
        <v/>
      </c>
      <c r="DT14" s="527" t="str">
        <f t="shared" si="42"/>
        <v/>
      </c>
      <c r="DU14" s="528" t="str">
        <f t="shared" si="43"/>
        <v/>
      </c>
      <c r="DV14" s="982">
        <v>2</v>
      </c>
      <c r="DW14" s="533" t="s">
        <v>88</v>
      </c>
      <c r="DX14" s="534" t="str">
        <f t="shared" si="8"/>
        <v/>
      </c>
      <c r="DY14" s="877" t="e">
        <f>IF($DX14&gt;$DX15,VLOOKUP($DX14,参照データ!$D$128:$K$145,7,0),VLOOKUP($DX15,参照データ!$D$128:$K$145,7,0))</f>
        <v>#N/A</v>
      </c>
      <c r="DZ14" s="692" t="str">
        <f>IFERROR(VLOOKUP($DY14,参照データ!$J$128:$N$145,5,0),"")</f>
        <v/>
      </c>
      <c r="EA14" s="526" t="str">
        <f t="shared" si="9"/>
        <v/>
      </c>
      <c r="EB14" s="527" t="str">
        <f t="shared" si="10"/>
        <v/>
      </c>
      <c r="EC14" s="528" t="str">
        <f t="shared" si="11"/>
        <v/>
      </c>
      <c r="ED14" s="982">
        <v>2</v>
      </c>
      <c r="EE14" s="533" t="s">
        <v>88</v>
      </c>
      <c r="EF14" s="533" t="str">
        <f t="shared" si="12"/>
        <v/>
      </c>
      <c r="EG14" s="534" t="str">
        <f>IF(SUM(EF14:EF15)&lt;24,"",IF(SUM(EF14:EF15)&gt;=36,3,2))</f>
        <v/>
      </c>
      <c r="EH14" s="877" t="e">
        <f>IF($EG14&gt;$EG15,VLOOKUP($EG14,参照データ!$D$128:$K$145,8,0),VLOOKUP($EG15,参照データ!$D$128:$K$145,8,0))</f>
        <v>#N/A</v>
      </c>
      <c r="EI14" s="527" t="str">
        <f>IFERROR(VLOOKUP($EH14,参照データ!$K$128:$N$145,4,0),"")</f>
        <v/>
      </c>
      <c r="EJ14" s="555" t="str">
        <f t="shared" si="13"/>
        <v/>
      </c>
      <c r="EK14" s="556" t="str">
        <f t="shared" si="44"/>
        <v/>
      </c>
      <c r="EL14" s="846"/>
      <c r="EM14" s="561" t="s">
        <v>752</v>
      </c>
      <c r="EN14" s="562" t="str">
        <f t="shared" si="45"/>
        <v/>
      </c>
      <c r="EO14" s="849"/>
      <c r="EP14" s="555" t="str">
        <f t="shared" si="14"/>
        <v/>
      </c>
      <c r="EQ14" s="556" t="str">
        <f t="shared" si="46"/>
        <v/>
      </c>
      <c r="ER14" s="846"/>
      <c r="ES14" s="561" t="s">
        <v>752</v>
      </c>
      <c r="ET14" s="562" t="str">
        <f t="shared" si="47"/>
        <v/>
      </c>
      <c r="EU14" s="849"/>
      <c r="EV14" s="38" t="str">
        <f t="shared" si="15"/>
        <v/>
      </c>
      <c r="EW14" s="552" t="str">
        <f t="shared" si="48"/>
        <v/>
      </c>
      <c r="EX14" s="833"/>
      <c r="EY14" s="559" t="s">
        <v>752</v>
      </c>
      <c r="EZ14" s="560" t="str">
        <f t="shared" si="49"/>
        <v/>
      </c>
      <c r="FA14" s="835"/>
      <c r="FB14" t="str">
        <f>IF($FC14="","",DATEDIF($BJ14,参照データ!$D$19,"Y"))</f>
        <v/>
      </c>
      <c r="FC14" s="298" t="str">
        <f>IFERROR(IF($BK14="男子",VLOOKUP($FJ14,参照データ!$D$92:$E$118,2,0),$FJ14),0)</f>
        <v/>
      </c>
      <c r="FD14" s="92" t="str">
        <f>IF($Y14="選手権",(VLOOKUP($FC14,参照データ!$D$92:$K$121,3,0)),"")</f>
        <v/>
      </c>
      <c r="FE14" s="93" t="str">
        <f t="shared" si="16"/>
        <v/>
      </c>
      <c r="FF14" s="92" t="str">
        <f>IF($AA14="選手権",(VLOOKUP($FC14,参照データ!$D$92:$K$121,4,0)),"")</f>
        <v/>
      </c>
      <c r="FG14" s="93" t="str">
        <f t="shared" si="17"/>
        <v/>
      </c>
      <c r="FH14" s="92" t="str">
        <f>IF($AC14="選手権",(VLOOKUP($FC14,参照データ!$D$92:$K$121,5,0)),"")</f>
        <v/>
      </c>
      <c r="FI14" s="93" t="str">
        <f t="shared" si="18"/>
        <v/>
      </c>
      <c r="FJ14" s="61" t="str">
        <f>IF(AND($BJ14&gt;=参照データ!$C$94,$BJ14&lt;=参照データ!$C$92),1,IF(AND($BJ14&gt;=参照データ!$C$97,$BJ14&lt;=参照データ!$C$95),2,IF(AND($BJ14&gt;=参照データ!$C$103,$BJ14&lt;=参照データ!$C$101),3,IF(AND($BJ14&gt;=参照データ!$C$109,$BJ14&lt;=参照データ!$C$107),4,IF(AND($BJ14&gt;=参照データ!$C$115,$BJ14&lt;=参照データ!$C$113),5,IF(AND($BJ14&gt;0,$BJ14&lt;=参照データ!$C$116),6,""))))))</f>
        <v/>
      </c>
      <c r="FK14" s="92" t="str">
        <f>IF($AE14="選手権",(VLOOKUP($FJ14,参照データ!$D$92:$K$121,6,0)),"")</f>
        <v/>
      </c>
      <c r="FL14" s="93" t="str">
        <f t="shared" si="19"/>
        <v/>
      </c>
      <c r="FM14" s="92" t="str">
        <f>IF($AG14="選手権",(VLOOKUP($FJ14,参照データ!$D$92:$K$121,7,0)),"")</f>
        <v/>
      </c>
      <c r="FN14" s="93" t="str">
        <f t="shared" si="50"/>
        <v/>
      </c>
      <c r="FO14" s="38" t="str">
        <f t="shared" si="51"/>
        <v/>
      </c>
      <c r="FP14" s="37" t="str">
        <f t="shared" si="52"/>
        <v/>
      </c>
      <c r="FQ14" s="93" t="str">
        <f t="shared" si="53"/>
        <v/>
      </c>
      <c r="FR14" s="979">
        <v>2</v>
      </c>
      <c r="FS14" s="101" t="s">
        <v>88</v>
      </c>
      <c r="FT14" s="102" t="str">
        <f t="shared" si="20"/>
        <v/>
      </c>
      <c r="FU14" s="980" t="e">
        <f>IF($FT14&gt;$FT15,VLOOKUP($FT14,参照データ!$D$92:$K$121,8,0),VLOOKUP($FT15,参照データ!$D$92:$K$121,8,0))</f>
        <v>#N/A</v>
      </c>
      <c r="FV14" s="356" t="str">
        <f>IFERROR(VLOOKUP($FU14,参照データ!$K$92:$O$121,5,0),"")</f>
        <v/>
      </c>
      <c r="FY14" s="40">
        <f>(COUNTIF($J14:$O14,"&lt;&gt;"))*参照データ!$E$3</f>
        <v>0</v>
      </c>
      <c r="FZ14" s="267" t="str">
        <f>IF($P14="○",参照データ!$E$4,"")</f>
        <v/>
      </c>
      <c r="GA14" s="19">
        <f>(SUM(COUNTIF($Q14:$U14,{"入門","初級"}))*参照データ!$E$9)+(SUM(COUNTIF($Q14:$U14,{"中級","上級"})*参照データ!$E$10))</f>
        <v>0</v>
      </c>
      <c r="GB14" s="19">
        <f>IFERROR(VLOOKUP($V14,参照データ!$D$9:$J$11,7,0),0)</f>
        <v>0</v>
      </c>
      <c r="GC14" s="19">
        <f>((COUNTIF($Y14:$AG14,"オープン"))*参照データ!$E$12)</f>
        <v>0</v>
      </c>
      <c r="GD14" s="19" t="str">
        <f>(IF($AI14="オープン",参照データ!$J$12,""))</f>
        <v/>
      </c>
      <c r="GE14" s="19">
        <f>(COUNTIF($AN14:$AU14,"○")*参照データ!$E$22)</f>
        <v>0</v>
      </c>
      <c r="GF14" s="19">
        <f>(COUNTIF($AV14:$BA14,"○")*参照データ!$I$22)</f>
        <v>0</v>
      </c>
      <c r="GI14" s="19">
        <f>((COUNTIF($Y14:$AG14,"選手権"))*参照データ!$E$13)</f>
        <v>0</v>
      </c>
      <c r="GJ14" s="19" t="str">
        <f>(IF($AI14="選手権",参照データ!$J$13,""))</f>
        <v/>
      </c>
      <c r="GK14" s="106">
        <f t="array" ref="GK14">SUM(IF(ISERROR(FY14:GJ14),0,(FY14:GJ14)))</f>
        <v>0</v>
      </c>
      <c r="GL14" s="19"/>
      <c r="GM14" s="19">
        <f t="shared" si="54"/>
        <v>0</v>
      </c>
      <c r="GN14" s="19">
        <f t="shared" si="55"/>
        <v>0</v>
      </c>
      <c r="GO14" s="19">
        <f t="shared" si="56"/>
        <v>0</v>
      </c>
      <c r="GP14" s="19">
        <f t="shared" si="21"/>
        <v>0</v>
      </c>
      <c r="GQ14" s="19">
        <f t="shared" si="57"/>
        <v>0</v>
      </c>
      <c r="GR14" s="19">
        <f t="shared" si="58"/>
        <v>0</v>
      </c>
      <c r="GS14" s="19">
        <f t="shared" si="59"/>
        <v>0</v>
      </c>
      <c r="GT14" s="19">
        <f t="shared" si="60"/>
        <v>0</v>
      </c>
      <c r="GU14" s="19">
        <f t="shared" si="61"/>
        <v>0</v>
      </c>
      <c r="GV14" t="str">
        <f t="shared" si="22"/>
        <v/>
      </c>
      <c r="GW14" t="str">
        <f t="shared" si="62"/>
        <v/>
      </c>
      <c r="GX14" t="str">
        <f t="shared" si="23"/>
        <v/>
      </c>
      <c r="GY14" t="str">
        <f t="shared" si="63"/>
        <v/>
      </c>
      <c r="GZ14" t="str">
        <f t="shared" si="24"/>
        <v/>
      </c>
    </row>
    <row r="15" spans="1:208" ht="18.75" customHeight="1" x14ac:dyDescent="0.15">
      <c r="A15">
        <v>4</v>
      </c>
      <c r="B15" s="15" t="str">
        <f>IF(D15="","",IF(D15="重複","",COUNTIF(B$12:$B14,"&gt;0")+1))</f>
        <v/>
      </c>
      <c r="C15" s="713"/>
      <c r="D15" s="185"/>
      <c r="E15" s="185"/>
      <c r="F15" s="36"/>
      <c r="G15" s="47"/>
      <c r="H15" s="402">
        <f t="shared" si="2"/>
        <v>0</v>
      </c>
      <c r="I15" s="201" t="str">
        <f>IF($BJ15=0,"",DATEDIF($BJ15,参照データ!$D$16,"Y"))</f>
        <v/>
      </c>
      <c r="J15" s="41"/>
      <c r="K15" s="41"/>
      <c r="L15" s="41"/>
      <c r="M15" s="41"/>
      <c r="N15" s="41"/>
      <c r="O15" s="49"/>
      <c r="P15" s="395"/>
      <c r="Q15" s="51"/>
      <c r="R15" s="289"/>
      <c r="S15" s="289"/>
      <c r="T15" s="289"/>
      <c r="U15" s="290"/>
      <c r="V15" s="292"/>
      <c r="W15" s="295"/>
      <c r="Y15" s="446"/>
      <c r="Z15" s="396" t="str">
        <f>IF($Y15="オープン",VLOOKUP($CO15,参照データ!$D$69:$M$86,9,0),IF($Y15="選手権",VLOOKUP($FC15,参照データ!$D$92:$O$121,10,0),""))</f>
        <v/>
      </c>
      <c r="AA15" s="446"/>
      <c r="AB15" s="666" t="str">
        <f>IF($AA15="オープン",VLOOKUP($CO15,参照データ!$D$69:$M$86,10,0),IF($AA15="選手権",VLOOKUP($FC15,参照データ!$D$92:$O$121,11,0),""))</f>
        <v/>
      </c>
      <c r="AC15" s="669"/>
      <c r="AD15" s="396" t="str">
        <f>IF($AC15="オープン",VLOOKUP($CO15,参照データ!$D$69:$M$86,10,0),IF($AC15="選手権",VLOOKUP($FC15,参照データ!$D$92:$O$121,11,0),""))</f>
        <v/>
      </c>
      <c r="AE15" s="446"/>
      <c r="AF15" s="396" t="str">
        <f>IF($AE15="オープン",VLOOKUP($CO15,参照データ!$D$69:$M$86,10,0),IF($AE15="選手権",VLOOKUP($FJ15,参照データ!$D$92:$O$121,12,0),""))</f>
        <v/>
      </c>
      <c r="AG15" s="446"/>
      <c r="AH15" s="396" t="str">
        <f>IF($AG15="オープン",VLOOKUP($CO15,参照データ!$D$69:$M$86,10,0),IF($AG15="選手権",VLOOKUP($FJ15,参照データ!$D$92:$O$121,12,0),""))</f>
        <v/>
      </c>
      <c r="AI15" s="446"/>
      <c r="AJ15" s="449"/>
      <c r="AK15" s="396" t="str">
        <f t="shared" si="3"/>
        <v/>
      </c>
      <c r="AL15" s="587"/>
      <c r="AM15" s="588" t="str">
        <f>IF($BJ15=0,"",DATEDIF($BJ15,参照データ!$D$17,"Y"))</f>
        <v/>
      </c>
      <c r="AN15" s="450"/>
      <c r="AO15" s="591" t="str">
        <f>IF(AN15="","",IF($BK15="男子",VLOOKUP($DI15,参照データ!$D$128:$M$145,10,FALSE),VLOOKUP($DH15,参照データ!$D$128:$M$145,10,FALSE)))</f>
        <v/>
      </c>
      <c r="AP15" s="450"/>
      <c r="AQ15" s="591" t="str">
        <f>IF(AP15="","",IF($BK15="男子",VLOOKUP($DI15,参照データ!$D$128:$M$145,10,FALSE),VLOOKUP($DH15,参照データ!$D$128:$M$145,10,FALSE)))</f>
        <v/>
      </c>
      <c r="AR15" s="450"/>
      <c r="AS15" s="591" t="str">
        <f>IF(AR15="","",IF($BK15="男子",VLOOKUP($DI15,参照データ!$D$128:$M$145,10,FALSE),VLOOKUP($DH15,参照データ!$D$128:$M$145,10,FALSE)))</f>
        <v/>
      </c>
      <c r="AT15" s="450"/>
      <c r="AU15" s="591" t="str">
        <f>IF(AT15="","",IF($BK15="男子",VLOOKUP($DI15,参照データ!$D$128:$M$145,10,FALSE),VLOOKUP($DH15,参照データ!$D$128:$M$145,10,FALSE)))</f>
        <v/>
      </c>
      <c r="AV15" s="448"/>
      <c r="AW15" s="448"/>
      <c r="AX15" s="585" t="str">
        <f t="shared" si="25"/>
        <v/>
      </c>
      <c r="AY15" s="448"/>
      <c r="AZ15" s="448"/>
      <c r="BA15" s="585" t="str">
        <f t="shared" si="4"/>
        <v/>
      </c>
      <c r="BB15" s="677"/>
      <c r="BC15" s="724"/>
      <c r="BD15" s="640"/>
      <c r="BE15" s="623"/>
      <c r="BF15" s="365"/>
      <c r="BG15" s="366"/>
      <c r="BI15" s="477" t="s">
        <v>152</v>
      </c>
      <c r="BJ15">
        <f>IF($D15="重複",VALUE($G14),VALUE($G15))</f>
        <v>0</v>
      </c>
      <c r="BK15" t="str">
        <f t="shared" ref="BK15:BK71" si="65">IF($D15="","",IF($D15="重複",$F14,$F15))</f>
        <v/>
      </c>
      <c r="BL15" s="146"/>
      <c r="BO15" s="61" t="str">
        <f>IF($BJ15=0,"",IF(AND($I15&gt;=6,$I15&lt;=19),VLOOKUP($I15,参照データ!$B$28:$C$41,2,0),IF($I15&lt;6,6,19)))</f>
        <v/>
      </c>
      <c r="BP15" s="178" t="str">
        <f>IF($J15=$BI$12,VLOOKUP($BO15,参照データ!$C$28:$I$41,2,0),"")</f>
        <v/>
      </c>
      <c r="BQ15" s="169" t="str">
        <f>IF($K15=$BI$12,VLOOKUP($BO15,参照データ!$C$28:$I$41,3,0),"")</f>
        <v/>
      </c>
      <c r="BR15" s="169" t="str">
        <f>IF($L15=$BI$12,VLOOKUP($BO15,参照データ!$C$28:$I$41,4,0),"")</f>
        <v/>
      </c>
      <c r="BS15" s="169" t="str">
        <f>IF($M15=$BI$12,VLOOKUP($BO15,参照データ!$C$28:$I$41,5,0),"")</f>
        <v/>
      </c>
      <c r="BT15" s="169" t="str">
        <f>IF($N15=$BI$12,VLOOKUP($BO15,参照データ!$C$28:$I$41,6,0),"")</f>
        <v/>
      </c>
      <c r="BU15" s="179" t="str">
        <f>IF($O15=$BI$12,VLOOKUP($BO15,参照データ!$C$28:$I$41,7,0),"")</f>
        <v/>
      </c>
      <c r="BV15" s="178" t="str">
        <f>IF($J15=$BI$13,VLOOKUP($BO15,参照データ!$C$28:$I$41,2,0),"")</f>
        <v/>
      </c>
      <c r="BW15" s="169" t="str">
        <f>IF($K15=$BI$13,VLOOKUP($BO15,参照データ!$C$28:$I$41,3,0),"")</f>
        <v/>
      </c>
      <c r="BX15" s="169" t="str">
        <f>IF($L15=$BI$13,VLOOKUP($BO15,参照データ!$C$28:$I$41,4,0),"")</f>
        <v/>
      </c>
      <c r="BY15" s="169" t="str">
        <f>IF($M15=$BI$13,VLOOKUP($BO15,参照データ!$C$28:$I$41,5,0),"")</f>
        <v/>
      </c>
      <c r="BZ15" s="169" t="str">
        <f>IF($N15=$BI$13,VLOOKUP($BO15,参照データ!$C$28:$I$41,6,0),"")</f>
        <v/>
      </c>
      <c r="CA15" s="179" t="str">
        <f>IF($O15=$BI$13,VLOOKUP($BO15,参照データ!$C$28:$I$41,7,0),"")</f>
        <v/>
      </c>
      <c r="CB15" s="271" t="str">
        <f t="shared" si="26"/>
        <v/>
      </c>
      <c r="CC15" s="177" t="str">
        <f>IF($Q15="入門",VLOOKUP($BO15,参照データ!$C$47:$U$60,2,0),IF($Q15="初級",VLOOKUP($BO15,参照データ!$C$47:$U$60,3,0),IF($Q15="中級",VLOOKUP($BO15,参照データ!$C$47:$U$60,4,0),IF($Q15="上級",VLOOKUP($BO15,参照データ!$C$47:$U$60,5,0),""))))</f>
        <v/>
      </c>
      <c r="CD15" s="177" t="str">
        <f>IF($R15="初級",VLOOKUP($BO15,参照データ!$C$47:$U$60,6,0),IF($R15="中級",VLOOKUP($BO15,参照データ!$C$47:$U$60,7,0),IF($R15="上級",VLOOKUP($BO15,参照データ!$C$47:$U$60,8,0),"")))</f>
        <v/>
      </c>
      <c r="CE15" s="177" t="str">
        <f>IF($S15="初級",VLOOKUP($BO15,参照データ!$C$47:$U$60,9,0),IF($S15="上級",VLOOKUP($BO15,参照データ!$C$47:$U$60,10,0),""))</f>
        <v/>
      </c>
      <c r="CF15" s="177" t="str">
        <f>IF($T15="初級",VLOOKUP($BO15,参照データ!$C$47:$U$60,11,0),IF($T15="中級",VLOOKUP($BO15,参照データ!$C$47:$U$60,12,0),IF($T15="上級",VLOOKUP($BO15,参照データ!$C$47:$U$60,13,0),"")))</f>
        <v/>
      </c>
      <c r="CG15" s="177" t="str">
        <f>IF($U15="初級",VLOOKUP($BO15,参照データ!$C$47:$U$60,14,0),IF($U15="中級",VLOOKUP($BO15,参照データ!$C$47:$U$60,15,0),IF($U15="上級",VLOOKUP($BO15,参照データ!$C$47:$U$60,16,0),"")))</f>
        <v/>
      </c>
      <c r="CH15" s="55" t="str">
        <f t="shared" si="5"/>
        <v/>
      </c>
      <c r="CI15" s="55" t="str">
        <f>IF($V15="初級",VLOOKUP($BO15,参照データ!$C$47:$U$60,17,0),IF($V15="中級",VLOOKUP($BO15,参照データ!$C$47:$U$60,18,0),IF($V15="上級",VLOOKUP($BO15,参照データ!$C$47:$U$60,19,0),"")))</f>
        <v/>
      </c>
      <c r="CJ15" s="868"/>
      <c r="CK15" s="73" t="s">
        <v>239</v>
      </c>
      <c r="CL15" s="150" t="str">
        <f t="shared" si="6"/>
        <v/>
      </c>
      <c r="CM15" s="872"/>
      <c r="CO15" s="61">
        <f>IF(AND($BJ15&gt;=参照データ!$C$71,$BJ15&lt;=参照データ!$C$69),1,IF(AND($BJ15&gt;=参照データ!$C$74,$BJ15&lt;=参照データ!$C$72),2,IF(AND($BJ15&gt;=参照データ!$C$77,$BJ15&lt;=参照データ!$C$75),3,IF(AND($BJ15&gt;=参照データ!$C$80,$BJ15&lt;=参照データ!$C$78),4,IF(AND($BJ15&gt;=参照データ!$C$83,$BJ15&lt;=参照データ!$C$81),5,IF(AND($BJ15&gt;0,$BJ15&lt;=参照データ!$C$84),6,""))))))</f>
        <v>5</v>
      </c>
      <c r="CP15" s="160" t="str">
        <f>IF($Y15="オープン",(VLOOKUP($CO15,参照データ!$D$69:$J$86,2,0)),"")</f>
        <v/>
      </c>
      <c r="CQ15" s="79" t="str">
        <f t="shared" si="27"/>
        <v/>
      </c>
      <c r="CR15" s="78" t="str">
        <f>IF($AA15="オープン",(VLOOKUP($CO15,参照データ!$D$69:$J$86,3,0)),"")</f>
        <v/>
      </c>
      <c r="CS15" s="79" t="str">
        <f t="shared" si="28"/>
        <v/>
      </c>
      <c r="CT15" s="78" t="str">
        <f>IF($AC15="オープン",(VLOOKUP($CO15,参照データ!$D$69:$J$86,4,0)),"")</f>
        <v/>
      </c>
      <c r="CU15" s="79" t="str">
        <f t="shared" si="29"/>
        <v/>
      </c>
      <c r="CV15" s="78" t="str">
        <f>IF($AE15="オープン",(VLOOKUP($CO15,参照データ!$D$69:$J$86,5,0)),"")</f>
        <v/>
      </c>
      <c r="CW15" s="79" t="str">
        <f t="shared" si="7"/>
        <v/>
      </c>
      <c r="CX15" s="78" t="str">
        <f>IF($AG15="オープン",(VLOOKUP($CO15,参照データ!$D$69:$J$86,6,0)),"")</f>
        <v/>
      </c>
      <c r="CY15" s="79" t="str">
        <f t="shared" si="30"/>
        <v/>
      </c>
      <c r="CZ15" s="38" t="str">
        <f t="shared" si="31"/>
        <v/>
      </c>
      <c r="DA15" s="37" t="str">
        <f t="shared" si="32"/>
        <v/>
      </c>
      <c r="DB15" s="79" t="str">
        <f t="shared" si="33"/>
        <v/>
      </c>
      <c r="DC15" s="858"/>
      <c r="DD15" s="85" t="s">
        <v>89</v>
      </c>
      <c r="DE15" s="86" t="str">
        <f t="shared" si="34"/>
        <v/>
      </c>
      <c r="DF15" s="860"/>
      <c r="DG15" s="350" t="str">
        <f t="shared" ref="DG15" si="66">$DG14</f>
        <v/>
      </c>
      <c r="DH15" s="523">
        <f>IF(AND($BJ15&gt;=参照データ!$C$130,$BJ15&lt;=参照データ!$C$128),1,IF(AND($BJ15&gt;=参照データ!$C$133,$BJ15&lt;=参照データ!$C$131),2,IF(AND($BJ15&gt;=参照データ!$C$139,$BJ15&lt;=参照データ!$C$137),3,IF(AND($BJ15&gt;0,$BJ15&lt;=参照データ!$C$140),4,""))))</f>
        <v>1</v>
      </c>
      <c r="DI15" s="523">
        <f t="shared" si="35"/>
        <v>7</v>
      </c>
      <c r="DJ15" s="523" t="str">
        <f t="shared" si="36"/>
        <v/>
      </c>
      <c r="DK15" s="524" t="str">
        <f>IF($AN15="","",IF(AND($AN15="○",$BK15="男子"),VLOOKUP($DI15,参照データ!$D$128:$J$145,3,FALSE),VLOOKUP($DH15,参照データ!$D$128:$J$145,3,FALSE)))</f>
        <v/>
      </c>
      <c r="DL15" s="525" t="str">
        <f t="shared" si="37"/>
        <v/>
      </c>
      <c r="DM15" s="524" t="str">
        <f>IF($AP15="","",IF(AND($AP15="○",$BK15="男子"),VLOOKUP($DI15,参照データ!$D$128:$J$145,4,FALSE),VLOOKUP($DH15,参照データ!$D$128:$J$145,4,FALSE)))</f>
        <v/>
      </c>
      <c r="DN15" s="525" t="str">
        <f t="shared" si="38"/>
        <v/>
      </c>
      <c r="DO15" s="524" t="str">
        <f>IF($AR15="","",IF(AND($AR15="○",$BK15="男子"),VLOOKUP($DI15,参照データ!$D$128:$J$145,5,FALSE),VLOOKUP($DH15,参照データ!$D$128:$J$145,5,FALSE)))</f>
        <v/>
      </c>
      <c r="DP15" s="525" t="str">
        <f t="shared" si="39"/>
        <v/>
      </c>
      <c r="DQ15" s="524" t="str">
        <f>IF($AT15="","",IF(AND($AT15="○",$BK15="男子"),VLOOKUP($DI15,参照データ!$D$128:$J$145,6,FALSE),VLOOKUP($DH15,参照データ!$D$128:$J$145,6,FALSE)))</f>
        <v/>
      </c>
      <c r="DR15" s="525" t="str">
        <f t="shared" si="40"/>
        <v/>
      </c>
      <c r="DS15" s="526" t="str">
        <f t="shared" si="41"/>
        <v/>
      </c>
      <c r="DT15" s="527" t="str">
        <f t="shared" si="42"/>
        <v/>
      </c>
      <c r="DU15" s="528" t="str">
        <f t="shared" si="43"/>
        <v/>
      </c>
      <c r="DV15" s="983"/>
      <c r="DW15" s="531" t="s">
        <v>89</v>
      </c>
      <c r="DX15" s="532" t="str">
        <f t="shared" si="8"/>
        <v/>
      </c>
      <c r="DY15" s="876"/>
      <c r="DZ15" s="692" t="str">
        <f>$DZ14</f>
        <v/>
      </c>
      <c r="EA15" s="526" t="str">
        <f t="shared" si="9"/>
        <v/>
      </c>
      <c r="EB15" s="527" t="str">
        <f t="shared" si="10"/>
        <v/>
      </c>
      <c r="EC15" s="528" t="str">
        <f t="shared" si="11"/>
        <v/>
      </c>
      <c r="ED15" s="983"/>
      <c r="EE15" s="531" t="s">
        <v>89</v>
      </c>
      <c r="EF15" s="531" t="str">
        <f t="shared" si="12"/>
        <v/>
      </c>
      <c r="EG15" s="532" t="str">
        <f>IF(SUM(EF14:EF15)&lt;24,"",IF(SUM(EF14:EF15)&gt;=36,3,2))</f>
        <v/>
      </c>
      <c r="EH15" s="876"/>
      <c r="EI15" s="527" t="str">
        <f>$EI14</f>
        <v/>
      </c>
      <c r="EJ15" s="555" t="str">
        <f t="shared" si="13"/>
        <v/>
      </c>
      <c r="EK15" s="556" t="str">
        <f t="shared" si="44"/>
        <v/>
      </c>
      <c r="EL15" s="846"/>
      <c r="EM15" s="561" t="s">
        <v>753</v>
      </c>
      <c r="EN15" s="562" t="str">
        <f t="shared" si="45"/>
        <v/>
      </c>
      <c r="EO15" s="849"/>
      <c r="EP15" s="555" t="str">
        <f t="shared" si="14"/>
        <v/>
      </c>
      <c r="EQ15" s="556" t="str">
        <f t="shared" si="46"/>
        <v/>
      </c>
      <c r="ER15" s="846"/>
      <c r="ES15" s="561" t="s">
        <v>753</v>
      </c>
      <c r="ET15" s="562" t="str">
        <f t="shared" si="47"/>
        <v/>
      </c>
      <c r="EU15" s="849"/>
      <c r="EV15" s="38" t="str">
        <f t="shared" si="15"/>
        <v/>
      </c>
      <c r="EW15" s="552" t="str">
        <f t="shared" si="48"/>
        <v/>
      </c>
      <c r="EX15" s="833"/>
      <c r="EY15" s="559" t="s">
        <v>753</v>
      </c>
      <c r="EZ15" s="560" t="str">
        <f t="shared" si="49"/>
        <v/>
      </c>
      <c r="FA15" s="835"/>
      <c r="FB15" t="str">
        <f>IF($FC15="","",DATEDIF($BJ15,参照データ!$D$19,"Y"))</f>
        <v/>
      </c>
      <c r="FC15" s="298" t="str">
        <f>IFERROR(IF($BK15="男子",VLOOKUP($FJ15,参照データ!$D$92:$E$118,2,0),$FJ15),0)</f>
        <v/>
      </c>
      <c r="FD15" s="92" t="str">
        <f>IF($Y15="選手権",(VLOOKUP($FC15,参照データ!$D$92:$K$121,3,0)),"")</f>
        <v/>
      </c>
      <c r="FE15" s="93" t="str">
        <f t="shared" si="16"/>
        <v/>
      </c>
      <c r="FF15" s="92" t="str">
        <f>IF($AA15="選手権",(VLOOKUP($FC15,参照データ!$D$92:$K$121,4,0)),"")</f>
        <v/>
      </c>
      <c r="FG15" s="93" t="str">
        <f t="shared" si="17"/>
        <v/>
      </c>
      <c r="FH15" s="92" t="str">
        <f>IF($AC15="選手権",(VLOOKUP($FC15,参照データ!$D$92:$K$121,5,0)),"")</f>
        <v/>
      </c>
      <c r="FI15" s="93" t="str">
        <f t="shared" si="18"/>
        <v/>
      </c>
      <c r="FJ15" s="61" t="str">
        <f>IF(AND($BJ15&gt;=参照データ!$C$94,$BJ15&lt;=参照データ!$C$92),1,IF(AND($BJ15&gt;=参照データ!$C$97,$BJ15&lt;=参照データ!$C$95),2,IF(AND($BJ15&gt;=参照データ!$C$103,$BJ15&lt;=参照データ!$C$101),3,IF(AND($BJ15&gt;=参照データ!$C$109,$BJ15&lt;=参照データ!$C$107),4,IF(AND($BJ15&gt;=参照データ!$C$115,$BJ15&lt;=参照データ!$C$113),5,IF(AND($BJ15&gt;0,$BJ15&lt;=参照データ!$C$116),6,""))))))</f>
        <v/>
      </c>
      <c r="FK15" s="92" t="str">
        <f>IF($AE15="選手権",(VLOOKUP($FJ15,参照データ!$D$92:$K$121,6,0)),"")</f>
        <v/>
      </c>
      <c r="FL15" s="93" t="str">
        <f t="shared" si="19"/>
        <v/>
      </c>
      <c r="FM15" s="92" t="str">
        <f>IF($AG15="選手権",(VLOOKUP($FJ15,参照データ!$D$92:$K$121,7,0)),"")</f>
        <v/>
      </c>
      <c r="FN15" s="93" t="str">
        <f t="shared" si="50"/>
        <v/>
      </c>
      <c r="FO15" s="38" t="str">
        <f t="shared" si="51"/>
        <v/>
      </c>
      <c r="FP15" s="37" t="str">
        <f t="shared" si="52"/>
        <v/>
      </c>
      <c r="FQ15" s="93" t="str">
        <f t="shared" si="53"/>
        <v/>
      </c>
      <c r="FR15" s="976"/>
      <c r="FS15" s="99" t="s">
        <v>89</v>
      </c>
      <c r="FT15" s="100" t="str">
        <f t="shared" si="20"/>
        <v/>
      </c>
      <c r="FU15" s="978"/>
      <c r="FV15" s="356" t="str">
        <f t="shared" ref="FV15" si="67">$FV14</f>
        <v/>
      </c>
      <c r="FY15" s="40">
        <f>(COUNTIF($J15:$O15,"&lt;&gt;"))*参照データ!$E$3</f>
        <v>0</v>
      </c>
      <c r="FZ15" s="267" t="str">
        <f>IF($P15="○",参照データ!$E$4,"")</f>
        <v/>
      </c>
      <c r="GA15" s="19">
        <f>(SUM(COUNTIF($Q15:$U15,{"入門","初級"}))*参照データ!$E$9)+(SUM(COUNTIF($Q15:$U15,{"中級","上級"})*参照データ!$E$10))</f>
        <v>0</v>
      </c>
      <c r="GB15" s="19">
        <f>IFERROR(VLOOKUP($V15,参照データ!$D$9:$J$11,7,0),0)</f>
        <v>0</v>
      </c>
      <c r="GC15" s="19">
        <f>((COUNTIF($Y15:$AG15,"オープン"))*参照データ!$E$12)</f>
        <v>0</v>
      </c>
      <c r="GD15" s="19" t="str">
        <f>(IF($AI15="オープン",参照データ!$J$12,""))</f>
        <v/>
      </c>
      <c r="GE15" s="19">
        <f>(COUNTIF($AN15:$AU15,"○")*参照データ!$E$22)</f>
        <v>0</v>
      </c>
      <c r="GF15" s="19">
        <f>(COUNTIF($AV15:$BA15,"○")*参照データ!$I$22)</f>
        <v>0</v>
      </c>
      <c r="GI15" s="19">
        <f>((COUNTIF($Y15:$AG15,"選手権"))*参照データ!$E$13)</f>
        <v>0</v>
      </c>
      <c r="GJ15" s="19" t="str">
        <f>(IF($AI15="選手権",参照データ!$J$13,""))</f>
        <v/>
      </c>
      <c r="GK15" s="106">
        <f t="array" ref="GK15">SUM(IF(ISERROR(FY15:GJ15),0,(FY15:GJ15)))</f>
        <v>0</v>
      </c>
      <c r="GL15" s="19"/>
      <c r="GM15" s="19">
        <f t="shared" si="54"/>
        <v>0</v>
      </c>
      <c r="GN15" s="19">
        <f t="shared" si="55"/>
        <v>0</v>
      </c>
      <c r="GO15" s="19">
        <f t="shared" si="56"/>
        <v>0</v>
      </c>
      <c r="GP15" s="19">
        <f t="shared" si="21"/>
        <v>0</v>
      </c>
      <c r="GQ15" s="19">
        <f t="shared" si="57"/>
        <v>0</v>
      </c>
      <c r="GR15" s="19">
        <f t="shared" si="58"/>
        <v>0</v>
      </c>
      <c r="GS15" s="19">
        <f t="shared" si="59"/>
        <v>0</v>
      </c>
      <c r="GT15" s="19">
        <f t="shared" si="60"/>
        <v>0</v>
      </c>
      <c r="GU15" s="19">
        <f t="shared" si="61"/>
        <v>0</v>
      </c>
      <c r="GV15" t="str">
        <f t="shared" si="22"/>
        <v/>
      </c>
      <c r="GW15" t="str">
        <f t="shared" si="62"/>
        <v/>
      </c>
      <c r="GX15" t="str">
        <f t="shared" si="23"/>
        <v/>
      </c>
      <c r="GY15" t="str">
        <f t="shared" si="63"/>
        <v/>
      </c>
      <c r="GZ15" t="str">
        <f t="shared" si="24"/>
        <v/>
      </c>
    </row>
    <row r="16" spans="1:208" ht="18.75" customHeight="1" x14ac:dyDescent="0.15">
      <c r="A16">
        <v>5</v>
      </c>
      <c r="B16" s="15" t="str">
        <f>IF(D16="","",IF(D16="重複","",COUNTIF(B$12:$B15,"&gt;0")+1))</f>
        <v/>
      </c>
      <c r="C16" s="713"/>
      <c r="D16" s="185"/>
      <c r="E16" s="185"/>
      <c r="F16" s="36"/>
      <c r="G16" s="47"/>
      <c r="H16" s="402">
        <f t="shared" si="2"/>
        <v>0</v>
      </c>
      <c r="I16" s="201" t="str">
        <f>IF($BJ16=0,"",DATEDIF($BJ16,参照データ!$D$16,"Y"))</f>
        <v/>
      </c>
      <c r="J16" s="41"/>
      <c r="K16" s="41"/>
      <c r="L16" s="41"/>
      <c r="M16" s="41"/>
      <c r="N16" s="41"/>
      <c r="O16" s="49"/>
      <c r="P16" s="395"/>
      <c r="Q16" s="51"/>
      <c r="R16" s="289"/>
      <c r="S16" s="289"/>
      <c r="T16" s="289"/>
      <c r="U16" s="290"/>
      <c r="V16" s="292"/>
      <c r="W16" s="295"/>
      <c r="Y16" s="446"/>
      <c r="Z16" s="396" t="str">
        <f>IF($Y16="オープン",VLOOKUP($CO16,参照データ!$D$69:$M$86,9,0),IF($Y16="選手権",VLOOKUP($FC16,参照データ!$D$92:$O$121,10,0),""))</f>
        <v/>
      </c>
      <c r="AA16" s="446"/>
      <c r="AB16" s="666" t="str">
        <f>IF($AA16="オープン",VLOOKUP($CO16,参照データ!$D$69:$M$86,10,0),IF($AA16="選手権",VLOOKUP($FC16,参照データ!$D$92:$O$121,11,0),""))</f>
        <v/>
      </c>
      <c r="AC16" s="669"/>
      <c r="AD16" s="396" t="str">
        <f>IF($AC16="オープン",VLOOKUP($CO16,参照データ!$D$69:$M$86,10,0),IF($AC16="選手権",VLOOKUP($FC16,参照データ!$D$92:$O$121,11,0),""))</f>
        <v/>
      </c>
      <c r="AE16" s="446"/>
      <c r="AF16" s="396" t="str">
        <f>IF($AE16="オープン",VLOOKUP($CO16,参照データ!$D$69:$M$86,10,0),IF($AE16="選手権",VLOOKUP($FJ16,参照データ!$D$92:$O$121,12,0),""))</f>
        <v/>
      </c>
      <c r="AG16" s="446"/>
      <c r="AH16" s="396" t="str">
        <f>IF($AG16="オープン",VLOOKUP($CO16,参照データ!$D$69:$M$86,10,0),IF($AG16="選手権",VLOOKUP($FJ16,参照データ!$D$92:$O$121,12,0),""))</f>
        <v/>
      </c>
      <c r="AI16" s="446"/>
      <c r="AJ16" s="449"/>
      <c r="AK16" s="396" t="str">
        <f t="shared" si="3"/>
        <v/>
      </c>
      <c r="AL16" s="587"/>
      <c r="AM16" s="588" t="str">
        <f>IF($BJ16=0,"",DATEDIF($BJ16,参照データ!$D$17,"Y"))</f>
        <v/>
      </c>
      <c r="AN16" s="450"/>
      <c r="AO16" s="591" t="str">
        <f>IF(AN16="","",IF($BK16="男子",VLOOKUP($DI16,参照データ!$D$128:$M$145,10,FALSE),VLOOKUP($DH16,参照データ!$D$128:$M$145,10,FALSE)))</f>
        <v/>
      </c>
      <c r="AP16" s="450"/>
      <c r="AQ16" s="591" t="str">
        <f>IF(AP16="","",IF($BK16="男子",VLOOKUP($DI16,参照データ!$D$128:$M$145,10,FALSE),VLOOKUP($DH16,参照データ!$D$128:$M$145,10,FALSE)))</f>
        <v/>
      </c>
      <c r="AR16" s="450"/>
      <c r="AS16" s="591" t="str">
        <f>IF(AR16="","",IF($BK16="男子",VLOOKUP($DI16,参照データ!$D$128:$M$145,10,FALSE),VLOOKUP($DH16,参照データ!$D$128:$M$145,10,FALSE)))</f>
        <v/>
      </c>
      <c r="AT16" s="450"/>
      <c r="AU16" s="591" t="str">
        <f>IF(AT16="","",IF($BK16="男子",VLOOKUP($DI16,参照データ!$D$128:$M$145,10,FALSE),VLOOKUP($DH16,参照データ!$D$128:$M$145,10,FALSE)))</f>
        <v/>
      </c>
      <c r="AV16" s="448"/>
      <c r="AW16" s="448"/>
      <c r="AX16" s="585" t="str">
        <f t="shared" si="25"/>
        <v/>
      </c>
      <c r="AY16" s="448"/>
      <c r="AZ16" s="448"/>
      <c r="BA16" s="585" t="str">
        <f t="shared" si="4"/>
        <v/>
      </c>
      <c r="BB16" s="677"/>
      <c r="BC16" s="724"/>
      <c r="BD16" s="640"/>
      <c r="BE16" s="623"/>
      <c r="BF16" s="365"/>
      <c r="BG16" s="366"/>
      <c r="BI16" s="477" t="s">
        <v>153</v>
      </c>
      <c r="BJ16">
        <f t="shared" ref="BJ16:BJ19" si="68">IF($D16="重複",VALUE($G15),VALUE($G16))</f>
        <v>0</v>
      </c>
      <c r="BK16" t="str">
        <f t="shared" si="65"/>
        <v/>
      </c>
      <c r="BL16" s="146"/>
      <c r="BO16" s="61" t="str">
        <f>IF($BJ16=0,"",IF(AND($I16&gt;=6,$I16&lt;=19),VLOOKUP($I16,参照データ!$B$28:$C$41,2,0),IF($I16&lt;6,6,19)))</f>
        <v/>
      </c>
      <c r="BP16" s="178" t="str">
        <f>IF($J16=$BI$12,VLOOKUP($BO16,参照データ!$C$28:$I$41,2,0),"")</f>
        <v/>
      </c>
      <c r="BQ16" s="169" t="str">
        <f>IF($K16=$BI$12,VLOOKUP($BO16,参照データ!$C$28:$I$41,3,0),"")</f>
        <v/>
      </c>
      <c r="BR16" s="169" t="str">
        <f>IF($L16=$BI$12,VLOOKUP($BO16,参照データ!$C$28:$I$41,4,0),"")</f>
        <v/>
      </c>
      <c r="BS16" s="169" t="str">
        <f>IF($M16=$BI$12,VLOOKUP($BO16,参照データ!$C$28:$I$41,5,0),"")</f>
        <v/>
      </c>
      <c r="BT16" s="169" t="str">
        <f>IF($N16=$BI$12,VLOOKUP($BO16,参照データ!$C$28:$I$41,6,0),"")</f>
        <v/>
      </c>
      <c r="BU16" s="179" t="str">
        <f>IF($O16=$BI$12,VLOOKUP($BO16,参照データ!$C$28:$I$41,7,0),"")</f>
        <v/>
      </c>
      <c r="BV16" s="178" t="str">
        <f>IF($J16=$BI$13,VLOOKUP($BO16,参照データ!$C$28:$I$41,2,0),"")</f>
        <v/>
      </c>
      <c r="BW16" s="169" t="str">
        <f>IF($K16=$BI$13,VLOOKUP($BO16,参照データ!$C$28:$I$41,3,0),"")</f>
        <v/>
      </c>
      <c r="BX16" s="169" t="str">
        <f>IF($L16=$BI$13,VLOOKUP($BO16,参照データ!$C$28:$I$41,4,0),"")</f>
        <v/>
      </c>
      <c r="BY16" s="169" t="str">
        <f>IF($M16=$BI$13,VLOOKUP($BO16,参照データ!$C$28:$I$41,5,0),"")</f>
        <v/>
      </c>
      <c r="BZ16" s="169" t="str">
        <f>IF($N16=$BI$13,VLOOKUP($BO16,参照データ!$C$28:$I$41,6,0),"")</f>
        <v/>
      </c>
      <c r="CA16" s="179" t="str">
        <f>IF($O16=$BI$13,VLOOKUP($BO16,参照データ!$C$28:$I$41,7,0),"")</f>
        <v/>
      </c>
      <c r="CB16" s="271" t="str">
        <f t="shared" si="26"/>
        <v/>
      </c>
      <c r="CC16" s="177" t="str">
        <f>IF($Q16="入門",VLOOKUP($BO16,参照データ!$C$47:$U$60,2,0),IF($Q16="初級",VLOOKUP($BO16,参照データ!$C$47:$U$60,3,0),IF($Q16="中級",VLOOKUP($BO16,参照データ!$C$47:$U$60,4,0),IF($Q16="上級",VLOOKUP($BO16,参照データ!$C$47:$U$60,5,0),""))))</f>
        <v/>
      </c>
      <c r="CD16" s="177" t="str">
        <f>IF($R16="初級",VLOOKUP($BO16,参照データ!$C$47:$U$60,6,0),IF($R16="中級",VLOOKUP($BO16,参照データ!$C$47:$U$60,7,0),IF($R16="上級",VLOOKUP($BO16,参照データ!$C$47:$U$60,8,0),"")))</f>
        <v/>
      </c>
      <c r="CE16" s="177" t="str">
        <f>IF($S16="初級",VLOOKUP($BO16,参照データ!$C$47:$U$60,9,0),IF($S16="上級",VLOOKUP($BO16,参照データ!$C$47:$U$60,10,0),""))</f>
        <v/>
      </c>
      <c r="CF16" s="177" t="str">
        <f>IF($T16="初級",VLOOKUP($BO16,参照データ!$C$47:$U$60,11,0),IF($T16="中級",VLOOKUP($BO16,参照データ!$C$47:$U$60,12,0),IF($T16="上級",VLOOKUP($BO16,参照データ!$C$47:$U$60,13,0),"")))</f>
        <v/>
      </c>
      <c r="CG16" s="177" t="str">
        <f>IF($U16="初級",VLOOKUP($BO16,参照データ!$C$47:$U$60,14,0),IF($U16="中級",VLOOKUP($BO16,参照データ!$C$47:$U$60,15,0),IF($U16="上級",VLOOKUP($BO16,参照データ!$C$47:$U$60,16,0),"")))</f>
        <v/>
      </c>
      <c r="CH16" s="55" t="str">
        <f t="shared" si="5"/>
        <v/>
      </c>
      <c r="CI16" s="55" t="str">
        <f>IF($V16="初級",VLOOKUP($BO16,参照データ!$C$47:$U$60,17,0),IF($V16="中級",VLOOKUP($BO16,参照データ!$C$47:$U$60,18,0),IF($V16="上級",VLOOKUP($BO16,参照データ!$C$47:$U$60,19,0),"")))</f>
        <v/>
      </c>
      <c r="CJ16" s="867">
        <v>3</v>
      </c>
      <c r="CK16" s="74" t="s">
        <v>240</v>
      </c>
      <c r="CL16" s="151" t="str">
        <f t="shared" si="6"/>
        <v/>
      </c>
      <c r="CM16" s="871" t="str">
        <f t="shared" ref="CM16" si="69">IF(OR($CL16="",$CL17=""),"",IF($CL16&gt;$CL17,$CL16,$CL17))</f>
        <v/>
      </c>
      <c r="CO16" s="61">
        <f>IF(AND($BJ16&gt;=参照データ!$C$71,$BJ16&lt;=参照データ!$C$69),1,IF(AND($BJ16&gt;=参照データ!$C$74,$BJ16&lt;=参照データ!$C$72),2,IF(AND($BJ16&gt;=参照データ!$C$77,$BJ16&lt;=参照データ!$C$75),3,IF(AND($BJ16&gt;=参照データ!$C$80,$BJ16&lt;=参照データ!$C$78),4,IF(AND($BJ16&gt;=参照データ!$C$83,$BJ16&lt;=参照データ!$C$81),5,IF(AND($BJ16&gt;0,$BJ16&lt;=参照データ!$C$84),6,""))))))</f>
        <v>5</v>
      </c>
      <c r="CP16" s="160" t="str">
        <f>IF($Y16="オープン",(VLOOKUP($CO16,参照データ!$D$69:$J$86,2,0)),"")</f>
        <v/>
      </c>
      <c r="CQ16" s="79" t="str">
        <f t="shared" si="27"/>
        <v/>
      </c>
      <c r="CR16" s="78" t="str">
        <f>IF($AA16="オープン",(VLOOKUP($CO16,参照データ!$D$69:$J$86,3,0)),"")</f>
        <v/>
      </c>
      <c r="CS16" s="79" t="str">
        <f t="shared" si="28"/>
        <v/>
      </c>
      <c r="CT16" s="78" t="str">
        <f>IF($AC16="オープン",(VLOOKUP($CO16,参照データ!$D$69:$J$86,4,0)),"")</f>
        <v/>
      </c>
      <c r="CU16" s="79" t="str">
        <f t="shared" si="29"/>
        <v/>
      </c>
      <c r="CV16" s="78" t="str">
        <f>IF($AE16="オープン",(VLOOKUP($CO16,参照データ!$D$69:$J$86,5,0)),"")</f>
        <v/>
      </c>
      <c r="CW16" s="79" t="str">
        <f t="shared" si="7"/>
        <v/>
      </c>
      <c r="CX16" s="78" t="str">
        <f>IF($AG16="オープン",(VLOOKUP($CO16,参照データ!$D$69:$J$86,6,0)),"")</f>
        <v/>
      </c>
      <c r="CY16" s="79" t="str">
        <f t="shared" si="30"/>
        <v/>
      </c>
      <c r="CZ16" s="38" t="str">
        <f t="shared" si="31"/>
        <v/>
      </c>
      <c r="DA16" s="37" t="str">
        <f t="shared" si="32"/>
        <v/>
      </c>
      <c r="DB16" s="79" t="str">
        <f t="shared" si="33"/>
        <v/>
      </c>
      <c r="DC16" s="857">
        <v>3</v>
      </c>
      <c r="DD16" s="87" t="s">
        <v>90</v>
      </c>
      <c r="DE16" s="88" t="str">
        <f t="shared" si="34"/>
        <v/>
      </c>
      <c r="DF16" s="859" t="e">
        <f>IF($DE16&gt;$DE17,VLOOKUP($DE16,参照データ!$D$69:$J$86,7,0),VLOOKUP($DE17,参照データ!$D$69:$J$86,7,0))</f>
        <v>#N/A</v>
      </c>
      <c r="DG16" s="350" t="str">
        <f>IFERROR(VLOOKUP($DF16,参照データ!$J$69:$M$86,4,0),"")</f>
        <v/>
      </c>
      <c r="DH16" s="523">
        <f>IF(AND($BJ16&gt;=参照データ!$C$130,$BJ16&lt;=参照データ!$C$128),1,IF(AND($BJ16&gt;=参照データ!$C$133,$BJ16&lt;=参照データ!$C$131),2,IF(AND($BJ16&gt;=参照データ!$C$139,$BJ16&lt;=参照データ!$C$137),3,IF(AND($BJ16&gt;0,$BJ16&lt;=参照データ!$C$140),4,""))))</f>
        <v>1</v>
      </c>
      <c r="DI16" s="523">
        <f t="shared" si="35"/>
        <v>7</v>
      </c>
      <c r="DJ16" s="523" t="str">
        <f t="shared" si="36"/>
        <v/>
      </c>
      <c r="DK16" s="524" t="str">
        <f>IF($AN16="","",IF(AND($AN16="○",$BK16="男子"),VLOOKUP($DI16,参照データ!$D$128:$J$145,3,FALSE),VLOOKUP($DH16,参照データ!$D$128:$J$145,3,FALSE)))</f>
        <v/>
      </c>
      <c r="DL16" s="525" t="str">
        <f t="shared" si="37"/>
        <v/>
      </c>
      <c r="DM16" s="524" t="str">
        <f>IF($AP16="","",IF(AND($AP16="○",$BK16="男子"),VLOOKUP($DI16,参照データ!$D$128:$J$145,4,FALSE),VLOOKUP($DH16,参照データ!$D$128:$J$145,4,FALSE)))</f>
        <v/>
      </c>
      <c r="DN16" s="525" t="str">
        <f t="shared" si="38"/>
        <v/>
      </c>
      <c r="DO16" s="524" t="str">
        <f>IF($AR16="","",IF(AND($AR16="○",$BK16="男子"),VLOOKUP($DI16,参照データ!$D$128:$J$145,5,FALSE),VLOOKUP($DH16,参照データ!$D$128:$J$145,5,FALSE)))</f>
        <v/>
      </c>
      <c r="DP16" s="525" t="str">
        <f t="shared" si="39"/>
        <v/>
      </c>
      <c r="DQ16" s="524" t="str">
        <f>IF($AT16="","",IF(AND($AT16="○",$BK16="男子"),VLOOKUP($DI16,参照データ!$D$128:$J$145,6,FALSE),VLOOKUP($DH16,参照データ!$D$128:$J$145,6,FALSE)))</f>
        <v/>
      </c>
      <c r="DR16" s="525" t="str">
        <f t="shared" si="40"/>
        <v/>
      </c>
      <c r="DS16" s="526" t="str">
        <f t="shared" si="41"/>
        <v/>
      </c>
      <c r="DT16" s="527" t="str">
        <f t="shared" si="42"/>
        <v/>
      </c>
      <c r="DU16" s="528" t="str">
        <f t="shared" si="43"/>
        <v/>
      </c>
      <c r="DV16" s="982">
        <v>3</v>
      </c>
      <c r="DW16" s="533" t="s">
        <v>90</v>
      </c>
      <c r="DX16" s="534" t="str">
        <f t="shared" si="8"/>
        <v/>
      </c>
      <c r="DY16" s="877" t="e">
        <f>IF($DX16&gt;$DX17,VLOOKUP($DX16,参照データ!$D$128:$K$145,7,0),VLOOKUP($DX17,参照データ!$D$128:$K$145,7,0))</f>
        <v>#N/A</v>
      </c>
      <c r="DZ16" s="692" t="str">
        <f>IFERROR(VLOOKUP($DY16,参照データ!$J$128:$N$145,5,0),"")</f>
        <v/>
      </c>
      <c r="EA16" s="526" t="str">
        <f t="shared" si="9"/>
        <v/>
      </c>
      <c r="EB16" s="527" t="str">
        <f t="shared" si="10"/>
        <v/>
      </c>
      <c r="EC16" s="528" t="str">
        <f t="shared" si="11"/>
        <v/>
      </c>
      <c r="ED16" s="982">
        <v>3</v>
      </c>
      <c r="EE16" s="533" t="s">
        <v>90</v>
      </c>
      <c r="EF16" s="533" t="str">
        <f t="shared" si="12"/>
        <v/>
      </c>
      <c r="EG16" s="534" t="str">
        <f>IF(SUM(EF16:EF17)&lt;24,"",IF(SUM(EF16:EF17)&gt;=36,3,2))</f>
        <v/>
      </c>
      <c r="EH16" s="877" t="e">
        <f>IF($EG16&gt;$EG17,VLOOKUP($EG16,参照データ!$D$128:$K$145,8,0),VLOOKUP($EG17,参照データ!$D$128:$K$145,8,0))</f>
        <v>#N/A</v>
      </c>
      <c r="EI16" s="527" t="str">
        <f>IFERROR(VLOOKUP($EH16,参照データ!$K$128:$N$145,4,0),"")</f>
        <v/>
      </c>
      <c r="EJ16" s="555" t="str">
        <f t="shared" si="13"/>
        <v/>
      </c>
      <c r="EK16" s="556" t="str">
        <f t="shared" si="44"/>
        <v/>
      </c>
      <c r="EL16" s="846"/>
      <c r="EM16" s="561" t="s">
        <v>754</v>
      </c>
      <c r="EN16" s="562" t="str">
        <f t="shared" si="45"/>
        <v/>
      </c>
      <c r="EO16" s="849"/>
      <c r="EP16" s="555" t="str">
        <f t="shared" si="14"/>
        <v/>
      </c>
      <c r="EQ16" s="556" t="str">
        <f t="shared" si="46"/>
        <v/>
      </c>
      <c r="ER16" s="846"/>
      <c r="ES16" s="561" t="s">
        <v>754</v>
      </c>
      <c r="ET16" s="562" t="str">
        <f t="shared" si="47"/>
        <v/>
      </c>
      <c r="EU16" s="849"/>
      <c r="EV16" s="38" t="str">
        <f t="shared" si="15"/>
        <v/>
      </c>
      <c r="EW16" s="552" t="str">
        <f t="shared" si="48"/>
        <v/>
      </c>
      <c r="EX16" s="833"/>
      <c r="EY16" s="559" t="s">
        <v>754</v>
      </c>
      <c r="EZ16" s="560" t="str">
        <f t="shared" si="49"/>
        <v/>
      </c>
      <c r="FA16" s="835"/>
      <c r="FB16" t="str">
        <f>IF($FC16="","",DATEDIF($BJ16,参照データ!$D$19,"Y"))</f>
        <v/>
      </c>
      <c r="FC16" s="298" t="str">
        <f>IFERROR(IF($BK16="男子",VLOOKUP($FJ16,参照データ!$D$92:$E$118,2,0),$FJ16),0)</f>
        <v/>
      </c>
      <c r="FD16" s="92" t="str">
        <f>IF($Y16="選手権",(VLOOKUP($FC16,参照データ!$D$92:$K$121,3,0)),"")</f>
        <v/>
      </c>
      <c r="FE16" s="93" t="str">
        <f t="shared" si="16"/>
        <v/>
      </c>
      <c r="FF16" s="92" t="str">
        <f>IF($AA16="選手権",(VLOOKUP($FC16,参照データ!$D$92:$K$121,4,0)),"")</f>
        <v/>
      </c>
      <c r="FG16" s="93" t="str">
        <f t="shared" si="17"/>
        <v/>
      </c>
      <c r="FH16" s="92" t="str">
        <f>IF($AC16="選手権",(VLOOKUP($FC16,参照データ!$D$92:$K$121,5,0)),"")</f>
        <v/>
      </c>
      <c r="FI16" s="93" t="str">
        <f t="shared" si="18"/>
        <v/>
      </c>
      <c r="FJ16" s="61" t="str">
        <f>IF(AND($BJ16&gt;=参照データ!$C$94,$BJ16&lt;=参照データ!$C$92),1,IF(AND($BJ16&gt;=参照データ!$C$97,$BJ16&lt;=参照データ!$C$95),2,IF(AND($BJ16&gt;=参照データ!$C$103,$BJ16&lt;=参照データ!$C$101),3,IF(AND($BJ16&gt;=参照データ!$C$109,$BJ16&lt;=参照データ!$C$107),4,IF(AND($BJ16&gt;=参照データ!$C$115,$BJ16&lt;=参照データ!$C$113),5,IF(AND($BJ16&gt;0,$BJ16&lt;=参照データ!$C$116),6,""))))))</f>
        <v/>
      </c>
      <c r="FK16" s="92" t="str">
        <f>IF($AE16="選手権",(VLOOKUP($FJ16,参照データ!$D$92:$K$121,6,0)),"")</f>
        <v/>
      </c>
      <c r="FL16" s="93" t="str">
        <f t="shared" si="19"/>
        <v/>
      </c>
      <c r="FM16" s="92" t="str">
        <f>IF($AG16="選手権",(VLOOKUP($FJ16,参照データ!$D$92:$K$121,7,0)),"")</f>
        <v/>
      </c>
      <c r="FN16" s="93" t="str">
        <f t="shared" si="50"/>
        <v/>
      </c>
      <c r="FO16" s="38" t="str">
        <f t="shared" si="51"/>
        <v/>
      </c>
      <c r="FP16" s="37" t="str">
        <f t="shared" si="52"/>
        <v/>
      </c>
      <c r="FQ16" s="93" t="str">
        <f t="shared" si="53"/>
        <v/>
      </c>
      <c r="FR16" s="979">
        <v>3</v>
      </c>
      <c r="FS16" s="101" t="s">
        <v>90</v>
      </c>
      <c r="FT16" s="102" t="str">
        <f t="shared" si="20"/>
        <v/>
      </c>
      <c r="FU16" s="980" t="e">
        <f>IF($FT16&gt;$FT17,VLOOKUP($FT16,参照データ!$D$92:$K$121,8,0),VLOOKUP($FT17,参照データ!$D$92:$K$121,8,0))</f>
        <v>#N/A</v>
      </c>
      <c r="FV16" s="356" t="str">
        <f>IFERROR(VLOOKUP($FU16,参照データ!$K$92:$O$121,5,0),"")</f>
        <v/>
      </c>
      <c r="FY16" s="40">
        <f>(COUNTIF($J16:$O16,"&lt;&gt;"))*参照データ!$E$3</f>
        <v>0</v>
      </c>
      <c r="FZ16" s="267" t="str">
        <f>IF($P16="○",参照データ!$E$4,"")</f>
        <v/>
      </c>
      <c r="GA16" s="19">
        <f>(SUM(COUNTIF($Q16:$U16,{"入門","初級"}))*参照データ!$E$9)+(SUM(COUNTIF($Q16:$U16,{"中級","上級"})*参照データ!$E$10))</f>
        <v>0</v>
      </c>
      <c r="GB16" s="19">
        <f>IFERROR(VLOOKUP($V16,参照データ!$D$9:$J$11,7,0),0)</f>
        <v>0</v>
      </c>
      <c r="GC16" s="19">
        <f>((COUNTIF($Y16:$AG16,"オープン"))*参照データ!$E$12)</f>
        <v>0</v>
      </c>
      <c r="GD16" s="19" t="str">
        <f>(IF($AI16="オープン",参照データ!$J$12,""))</f>
        <v/>
      </c>
      <c r="GE16" s="19">
        <f>(COUNTIF($AN16:$AU16,"○")*参照データ!$E$22)</f>
        <v>0</v>
      </c>
      <c r="GF16" s="19">
        <f>(COUNTIF($AV16:$BA16,"○")*参照データ!$I$22)</f>
        <v>0</v>
      </c>
      <c r="GI16" s="19">
        <f>((COUNTIF($Y16:$AG16,"選手権"))*参照データ!$E$13)</f>
        <v>0</v>
      </c>
      <c r="GJ16" s="19" t="str">
        <f>(IF($AI16="選手権",参照データ!$J$13,""))</f>
        <v/>
      </c>
      <c r="GK16" s="106">
        <f t="array" ref="GK16">SUM(IF(ISERROR(FY16:GJ16),0,(FY16:GJ16)))</f>
        <v>0</v>
      </c>
      <c r="GL16" s="19"/>
      <c r="GM16" s="19">
        <f t="shared" si="54"/>
        <v>0</v>
      </c>
      <c r="GN16" s="19">
        <f t="shared" si="55"/>
        <v>0</v>
      </c>
      <c r="GO16" s="19">
        <f t="shared" si="56"/>
        <v>0</v>
      </c>
      <c r="GP16" s="19">
        <f t="shared" si="21"/>
        <v>0</v>
      </c>
      <c r="GQ16" s="19">
        <f t="shared" si="57"/>
        <v>0</v>
      </c>
      <c r="GR16" s="19">
        <f t="shared" si="58"/>
        <v>0</v>
      </c>
      <c r="GS16" s="19">
        <f t="shared" si="59"/>
        <v>0</v>
      </c>
      <c r="GT16" s="19">
        <f t="shared" si="60"/>
        <v>0</v>
      </c>
      <c r="GU16" s="19">
        <f t="shared" si="61"/>
        <v>0</v>
      </c>
      <c r="GV16" t="str">
        <f t="shared" si="22"/>
        <v/>
      </c>
      <c r="GW16" t="str">
        <f t="shared" si="62"/>
        <v/>
      </c>
      <c r="GX16" t="str">
        <f t="shared" si="23"/>
        <v/>
      </c>
      <c r="GY16" t="str">
        <f t="shared" si="63"/>
        <v/>
      </c>
      <c r="GZ16" t="str">
        <f t="shared" si="24"/>
        <v/>
      </c>
    </row>
    <row r="17" spans="1:208" ht="18.75" customHeight="1" x14ac:dyDescent="0.15">
      <c r="A17">
        <v>6</v>
      </c>
      <c r="B17" s="15" t="str">
        <f>IF(D17="","",IF(D17="重複","",COUNTIF(B$12:$B16,"&gt;0")+1))</f>
        <v/>
      </c>
      <c r="C17" s="713"/>
      <c r="D17" s="185"/>
      <c r="E17" s="185"/>
      <c r="F17" s="36"/>
      <c r="G17" s="47"/>
      <c r="H17" s="402">
        <f t="shared" si="2"/>
        <v>0</v>
      </c>
      <c r="I17" s="201" t="str">
        <f>IF($BJ17=0,"",DATEDIF($BJ17,参照データ!$D$16,"Y"))</f>
        <v/>
      </c>
      <c r="J17" s="41"/>
      <c r="K17" s="41"/>
      <c r="L17" s="41"/>
      <c r="M17" s="41"/>
      <c r="N17" s="41"/>
      <c r="O17" s="49"/>
      <c r="P17" s="395"/>
      <c r="Q17" s="51"/>
      <c r="R17" s="289"/>
      <c r="S17" s="289"/>
      <c r="T17" s="289"/>
      <c r="U17" s="290"/>
      <c r="V17" s="292"/>
      <c r="W17" s="295"/>
      <c r="Y17" s="446"/>
      <c r="Z17" s="396" t="str">
        <f>IF($Y17="オープン",VLOOKUP($CO17,参照データ!$D$69:$M$86,9,0),IF($Y17="選手権",VLOOKUP($FC17,参照データ!$D$92:$O$121,10,0),""))</f>
        <v/>
      </c>
      <c r="AA17" s="446"/>
      <c r="AB17" s="666" t="str">
        <f>IF($AA17="オープン",VLOOKUP($CO17,参照データ!$D$69:$M$86,10,0),IF($AA17="選手権",VLOOKUP($FC17,参照データ!$D$92:$O$121,11,0),""))</f>
        <v/>
      </c>
      <c r="AC17" s="669"/>
      <c r="AD17" s="396" t="str">
        <f>IF($AC17="オープン",VLOOKUP($CO17,参照データ!$D$69:$M$86,10,0),IF($AC17="選手権",VLOOKUP($FC17,参照データ!$D$92:$O$121,11,0),""))</f>
        <v/>
      </c>
      <c r="AE17" s="446"/>
      <c r="AF17" s="396" t="str">
        <f>IF($AE17="オープン",VLOOKUP($CO17,参照データ!$D$69:$M$86,10,0),IF($AE17="選手権",VLOOKUP($FJ17,参照データ!$D$92:$O$121,12,0),""))</f>
        <v/>
      </c>
      <c r="AG17" s="446"/>
      <c r="AH17" s="396" t="str">
        <f>IF($AG17="オープン",VLOOKUP($CO17,参照データ!$D$69:$M$86,10,0),IF($AG17="選手権",VLOOKUP($FJ17,参照データ!$D$92:$O$121,12,0),""))</f>
        <v/>
      </c>
      <c r="AI17" s="446"/>
      <c r="AJ17" s="449"/>
      <c r="AK17" s="396" t="str">
        <f t="shared" si="3"/>
        <v/>
      </c>
      <c r="AL17" s="587"/>
      <c r="AM17" s="588" t="str">
        <f>IF($BJ17=0,"",DATEDIF($BJ17,参照データ!$D$17,"Y"))</f>
        <v/>
      </c>
      <c r="AN17" s="450"/>
      <c r="AO17" s="591" t="str">
        <f>IF(AN17="","",IF($BK17="男子",VLOOKUP($DI17,参照データ!$D$128:$M$145,10,FALSE),VLOOKUP($DH17,参照データ!$D$128:$M$145,10,FALSE)))</f>
        <v/>
      </c>
      <c r="AP17" s="450"/>
      <c r="AQ17" s="591" t="str">
        <f>IF(AP17="","",IF($BK17="男子",VLOOKUP($DI17,参照データ!$D$128:$M$145,10,FALSE),VLOOKUP($DH17,参照データ!$D$128:$M$145,10,FALSE)))</f>
        <v/>
      </c>
      <c r="AR17" s="450"/>
      <c r="AS17" s="591" t="str">
        <f>IF(AR17="","",IF($BK17="男子",VLOOKUP($DI17,参照データ!$D$128:$M$145,10,FALSE),VLOOKUP($DH17,参照データ!$D$128:$M$145,10,FALSE)))</f>
        <v/>
      </c>
      <c r="AT17" s="450"/>
      <c r="AU17" s="591" t="str">
        <f>IF(AT17="","",IF($BK17="男子",VLOOKUP($DI17,参照データ!$D$128:$M$145,10,FALSE),VLOOKUP($DH17,参照データ!$D$128:$M$145,10,FALSE)))</f>
        <v/>
      </c>
      <c r="AV17" s="448"/>
      <c r="AW17" s="448"/>
      <c r="AX17" s="585" t="str">
        <f t="shared" si="25"/>
        <v/>
      </c>
      <c r="AY17" s="448"/>
      <c r="AZ17" s="448"/>
      <c r="BA17" s="585" t="str">
        <f t="shared" si="4"/>
        <v/>
      </c>
      <c r="BB17" s="677"/>
      <c r="BC17" s="724"/>
      <c r="BD17" s="640"/>
      <c r="BE17" s="623"/>
      <c r="BF17" s="365"/>
      <c r="BG17" s="366"/>
      <c r="BI17" s="477" t="s">
        <v>154</v>
      </c>
      <c r="BJ17">
        <f>IF($D17="重複",VALUE($G16),VALUE($G17))</f>
        <v>0</v>
      </c>
      <c r="BK17" t="str">
        <f t="shared" si="65"/>
        <v/>
      </c>
      <c r="BL17" s="146"/>
      <c r="BO17" s="61" t="str">
        <f>IF($BJ17=0,"",IF(AND($I17&gt;=6,$I17&lt;=19),VLOOKUP($I17,参照データ!$B$28:$C$41,2,0),IF($I17&lt;6,6,19)))</f>
        <v/>
      </c>
      <c r="BP17" s="178" t="str">
        <f>IF($J17=$BI$12,VLOOKUP($BO17,参照データ!$C$28:$I$41,2,0),"")</f>
        <v/>
      </c>
      <c r="BQ17" s="169" t="str">
        <f>IF($K17=$BI$12,VLOOKUP($BO17,参照データ!$C$28:$I$41,3,0),"")</f>
        <v/>
      </c>
      <c r="BR17" s="169" t="str">
        <f>IF($L17=$BI$12,VLOOKUP($BO17,参照データ!$C$28:$I$41,4,0),"")</f>
        <v/>
      </c>
      <c r="BS17" s="169" t="str">
        <f>IF($M17=$BI$12,VLOOKUP($BO17,参照データ!$C$28:$I$41,5,0),"")</f>
        <v/>
      </c>
      <c r="BT17" s="169" t="str">
        <f>IF($N17=$BI$12,VLOOKUP($BO17,参照データ!$C$28:$I$41,6,0),"")</f>
        <v/>
      </c>
      <c r="BU17" s="179" t="str">
        <f>IF($O17=$BI$12,VLOOKUP($BO17,参照データ!$C$28:$I$41,7,0),"")</f>
        <v/>
      </c>
      <c r="BV17" s="178" t="str">
        <f>IF($J17=$BI$13,VLOOKUP($BO17,参照データ!$C$28:$I$41,2,0),"")</f>
        <v/>
      </c>
      <c r="BW17" s="169" t="str">
        <f>IF($K17=$BI$13,VLOOKUP($BO17,参照データ!$C$28:$I$41,3,0),"")</f>
        <v/>
      </c>
      <c r="BX17" s="169" t="str">
        <f>IF($L17=$BI$13,VLOOKUP($BO17,参照データ!$C$28:$I$41,4,0),"")</f>
        <v/>
      </c>
      <c r="BY17" s="169" t="str">
        <f>IF($M17=$BI$13,VLOOKUP($BO17,参照データ!$C$28:$I$41,5,0),"")</f>
        <v/>
      </c>
      <c r="BZ17" s="169" t="str">
        <f>IF($N17=$BI$13,VLOOKUP($BO17,参照データ!$C$28:$I$41,6,0),"")</f>
        <v/>
      </c>
      <c r="CA17" s="179" t="str">
        <f>IF($O17=$BI$13,VLOOKUP($BO17,参照データ!$C$28:$I$41,7,0),"")</f>
        <v/>
      </c>
      <c r="CB17" s="271" t="str">
        <f t="shared" si="26"/>
        <v/>
      </c>
      <c r="CC17" s="177" t="str">
        <f>IF($Q17="入門",VLOOKUP($BO17,参照データ!$C$47:$U$60,2,0),IF($Q17="初級",VLOOKUP($BO17,参照データ!$C$47:$U$60,3,0),IF($Q17="中級",VLOOKUP($BO17,参照データ!$C$47:$U$60,4,0),IF($Q17="上級",VLOOKUP($BO17,参照データ!$C$47:$U$60,5,0),""))))</f>
        <v/>
      </c>
      <c r="CD17" s="177" t="str">
        <f>IF($R17="初級",VLOOKUP($BO17,参照データ!$C$47:$U$60,6,0),IF($R17="中級",VLOOKUP($BO17,参照データ!$C$47:$U$60,7,0),IF($R17="上級",VLOOKUP($BO17,参照データ!$C$47:$U$60,8,0),"")))</f>
        <v/>
      </c>
      <c r="CE17" s="177" t="str">
        <f>IF($S17="初級",VLOOKUP($BO17,参照データ!$C$47:$U$60,9,0),IF($S17="上級",VLOOKUP($BO17,参照データ!$C$47:$U$60,10,0),""))</f>
        <v/>
      </c>
      <c r="CF17" s="177" t="str">
        <f>IF($T17="初級",VLOOKUP($BO17,参照データ!$C$47:$U$60,11,0),IF($T17="中級",VLOOKUP($BO17,参照データ!$C$47:$U$60,12,0),IF($T17="上級",VLOOKUP($BO17,参照データ!$C$47:$U$60,13,0),"")))</f>
        <v/>
      </c>
      <c r="CG17" s="177" t="str">
        <f>IF($U17="初級",VLOOKUP($BO17,参照データ!$C$47:$U$60,14,0),IF($U17="中級",VLOOKUP($BO17,参照データ!$C$47:$U$60,15,0),IF($U17="上級",VLOOKUP($BO17,参照データ!$C$47:$U$60,16,0),"")))</f>
        <v/>
      </c>
      <c r="CH17" s="55" t="str">
        <f t="shared" si="5"/>
        <v/>
      </c>
      <c r="CI17" s="55" t="str">
        <f>IF($V17="初級",VLOOKUP($BO17,参照データ!$C$47:$U$60,17,0),IF($V17="中級",VLOOKUP($BO17,参照データ!$C$47:$U$60,18,0),IF($V17="上級",VLOOKUP($BO17,参照データ!$C$47:$U$60,19,0),"")))</f>
        <v/>
      </c>
      <c r="CJ17" s="868"/>
      <c r="CK17" s="73" t="s">
        <v>241</v>
      </c>
      <c r="CL17" s="150" t="str">
        <f t="shared" si="6"/>
        <v/>
      </c>
      <c r="CM17" s="872"/>
      <c r="CO17" s="61">
        <f>IF(AND($BJ17&gt;=参照データ!$C$71,$BJ17&lt;=参照データ!$C$69),1,IF(AND($BJ17&gt;=参照データ!$C$74,$BJ17&lt;=参照データ!$C$72),2,IF(AND($BJ17&gt;=参照データ!$C$77,$BJ17&lt;=参照データ!$C$75),3,IF(AND($BJ17&gt;=参照データ!$C$80,$BJ17&lt;=参照データ!$C$78),4,IF(AND($BJ17&gt;=参照データ!$C$83,$BJ17&lt;=参照データ!$C$81),5,IF(AND($BJ17&gt;0,$BJ17&lt;=参照データ!$C$84),6,""))))))</f>
        <v>5</v>
      </c>
      <c r="CP17" s="160" t="str">
        <f>IF($Y17="オープン",(VLOOKUP($CO17,参照データ!$D$69:$J$86,2,0)),"")</f>
        <v/>
      </c>
      <c r="CQ17" s="79" t="str">
        <f t="shared" si="27"/>
        <v/>
      </c>
      <c r="CR17" s="78" t="str">
        <f>IF($AA17="オープン",(VLOOKUP($CO17,参照データ!$D$69:$J$86,3,0)),"")</f>
        <v/>
      </c>
      <c r="CS17" s="79" t="str">
        <f t="shared" si="28"/>
        <v/>
      </c>
      <c r="CT17" s="78" t="str">
        <f>IF($AC17="オープン",(VLOOKUP($CO17,参照データ!$D$69:$J$86,4,0)),"")</f>
        <v/>
      </c>
      <c r="CU17" s="79" t="str">
        <f t="shared" si="29"/>
        <v/>
      </c>
      <c r="CV17" s="78" t="str">
        <f>IF($AE17="オープン",(VLOOKUP($CO17,参照データ!$D$69:$J$86,5,0)),"")</f>
        <v/>
      </c>
      <c r="CW17" s="79" t="str">
        <f t="shared" si="7"/>
        <v/>
      </c>
      <c r="CX17" s="78" t="str">
        <f>IF($AG17="オープン",(VLOOKUP($CO17,参照データ!$D$69:$J$86,6,0)),"")</f>
        <v/>
      </c>
      <c r="CY17" s="79" t="str">
        <f t="shared" si="30"/>
        <v/>
      </c>
      <c r="CZ17" s="38" t="str">
        <f t="shared" si="31"/>
        <v/>
      </c>
      <c r="DA17" s="37" t="str">
        <f t="shared" si="32"/>
        <v/>
      </c>
      <c r="DB17" s="79" t="str">
        <f t="shared" si="33"/>
        <v/>
      </c>
      <c r="DC17" s="858"/>
      <c r="DD17" s="85" t="s">
        <v>91</v>
      </c>
      <c r="DE17" s="86" t="str">
        <f t="shared" si="34"/>
        <v/>
      </c>
      <c r="DF17" s="860"/>
      <c r="DG17" s="350" t="str">
        <f t="shared" ref="DG17" si="70">$DG16</f>
        <v/>
      </c>
      <c r="DH17" s="523">
        <f>IF(AND($BJ17&gt;=参照データ!$C$130,$BJ17&lt;=参照データ!$C$128),1,IF(AND($BJ17&gt;=参照データ!$C$133,$BJ17&lt;=参照データ!$C$131),2,IF(AND($BJ17&gt;=参照データ!$C$139,$BJ17&lt;=参照データ!$C$137),3,IF(AND($BJ17&gt;0,$BJ17&lt;=参照データ!$C$140),4,""))))</f>
        <v>1</v>
      </c>
      <c r="DI17" s="523">
        <f t="shared" si="35"/>
        <v>7</v>
      </c>
      <c r="DJ17" s="523" t="str">
        <f t="shared" si="36"/>
        <v/>
      </c>
      <c r="DK17" s="524" t="str">
        <f>IF($AN17="","",IF(AND($AN17="○",$BK17="男子"),VLOOKUP($DI17,参照データ!$D$128:$J$145,3,FALSE),VLOOKUP($DH17,参照データ!$D$128:$J$145,3,FALSE)))</f>
        <v/>
      </c>
      <c r="DL17" s="525" t="str">
        <f t="shared" si="37"/>
        <v/>
      </c>
      <c r="DM17" s="524" t="str">
        <f>IF($AP17="","",IF(AND($AP17="○",$BK17="男子"),VLOOKUP($DI17,参照データ!$D$128:$J$145,4,FALSE),VLOOKUP($DH17,参照データ!$D$128:$J$145,4,FALSE)))</f>
        <v/>
      </c>
      <c r="DN17" s="525" t="str">
        <f t="shared" si="38"/>
        <v/>
      </c>
      <c r="DO17" s="524" t="str">
        <f>IF($AR17="","",IF(AND($AR17="○",$BK17="男子"),VLOOKUP($DI17,参照データ!$D$128:$J$145,5,FALSE),VLOOKUP($DH17,参照データ!$D$128:$J$145,5,FALSE)))</f>
        <v/>
      </c>
      <c r="DP17" s="525" t="str">
        <f t="shared" si="39"/>
        <v/>
      </c>
      <c r="DQ17" s="524" t="str">
        <f>IF($AT17="","",IF(AND($AT17="○",$BK17="男子"),VLOOKUP($DI17,参照データ!$D$128:$J$145,6,FALSE),VLOOKUP($DH17,参照データ!$D$128:$J$145,6,FALSE)))</f>
        <v/>
      </c>
      <c r="DR17" s="525" t="str">
        <f t="shared" si="40"/>
        <v/>
      </c>
      <c r="DS17" s="526" t="str">
        <f t="shared" si="41"/>
        <v/>
      </c>
      <c r="DT17" s="527" t="str">
        <f t="shared" si="42"/>
        <v/>
      </c>
      <c r="DU17" s="528" t="str">
        <f t="shared" si="43"/>
        <v/>
      </c>
      <c r="DV17" s="983"/>
      <c r="DW17" s="531" t="s">
        <v>91</v>
      </c>
      <c r="DX17" s="532" t="str">
        <f t="shared" si="8"/>
        <v/>
      </c>
      <c r="DY17" s="994"/>
      <c r="DZ17" s="692" t="str">
        <f>$DZ16</f>
        <v/>
      </c>
      <c r="EA17" s="526" t="str">
        <f t="shared" si="9"/>
        <v/>
      </c>
      <c r="EB17" s="527" t="str">
        <f t="shared" si="10"/>
        <v/>
      </c>
      <c r="EC17" s="528" t="str">
        <f t="shared" si="11"/>
        <v/>
      </c>
      <c r="ED17" s="983"/>
      <c r="EE17" s="531" t="s">
        <v>91</v>
      </c>
      <c r="EF17" s="531" t="str">
        <f t="shared" si="12"/>
        <v/>
      </c>
      <c r="EG17" s="532" t="str">
        <f>IF(SUM(EF16:EF17)&lt;24,"",IF(SUM(EF16:EF17)&gt;=36,3,2))</f>
        <v/>
      </c>
      <c r="EH17" s="994"/>
      <c r="EI17" s="527" t="str">
        <f>$EI16</f>
        <v/>
      </c>
      <c r="EJ17" s="555" t="str">
        <f t="shared" si="13"/>
        <v/>
      </c>
      <c r="EK17" s="556" t="str">
        <f t="shared" si="44"/>
        <v/>
      </c>
      <c r="EL17" s="846"/>
      <c r="EM17" s="561" t="s">
        <v>755</v>
      </c>
      <c r="EN17" s="562" t="str">
        <f t="shared" si="45"/>
        <v/>
      </c>
      <c r="EO17" s="849"/>
      <c r="EP17" s="555" t="str">
        <f t="shared" si="14"/>
        <v/>
      </c>
      <c r="EQ17" s="556" t="str">
        <f t="shared" si="46"/>
        <v/>
      </c>
      <c r="ER17" s="846"/>
      <c r="ES17" s="561" t="s">
        <v>755</v>
      </c>
      <c r="ET17" s="562" t="str">
        <f t="shared" si="47"/>
        <v/>
      </c>
      <c r="EU17" s="849"/>
      <c r="EV17" s="38" t="str">
        <f t="shared" si="15"/>
        <v/>
      </c>
      <c r="EW17" s="552" t="str">
        <f t="shared" si="48"/>
        <v/>
      </c>
      <c r="EX17" s="833"/>
      <c r="EY17" s="559" t="s">
        <v>755</v>
      </c>
      <c r="EZ17" s="560" t="str">
        <f t="shared" si="49"/>
        <v/>
      </c>
      <c r="FA17" s="835"/>
      <c r="FB17" t="str">
        <f>IF($FC17="","",DATEDIF($BJ17,参照データ!$D$19,"Y"))</f>
        <v/>
      </c>
      <c r="FC17" s="298" t="str">
        <f>IFERROR(IF($BK17="男子",VLOOKUP($FJ17,参照データ!$D$92:$E$118,2,0),$FJ17),0)</f>
        <v/>
      </c>
      <c r="FD17" s="92" t="str">
        <f>IF($Y17="選手権",(VLOOKUP($FC17,参照データ!$D$92:$K$121,3,0)),"")</f>
        <v/>
      </c>
      <c r="FE17" s="93" t="str">
        <f t="shared" si="16"/>
        <v/>
      </c>
      <c r="FF17" s="92" t="str">
        <f>IF($AA17="選手権",(VLOOKUP($FC17,参照データ!$D$92:$K$121,4,0)),"")</f>
        <v/>
      </c>
      <c r="FG17" s="93" t="str">
        <f t="shared" si="17"/>
        <v/>
      </c>
      <c r="FH17" s="92" t="str">
        <f>IF($AC17="選手権",(VLOOKUP($FC17,参照データ!$D$92:$K$121,5,0)),"")</f>
        <v/>
      </c>
      <c r="FI17" s="93" t="str">
        <f t="shared" si="18"/>
        <v/>
      </c>
      <c r="FJ17" s="61" t="str">
        <f>IF(AND($BJ17&gt;=参照データ!$C$94,$BJ17&lt;=参照データ!$C$92),1,IF(AND($BJ17&gt;=参照データ!$C$97,$BJ17&lt;=参照データ!$C$95),2,IF(AND($BJ17&gt;=参照データ!$C$103,$BJ17&lt;=参照データ!$C$101),3,IF(AND($BJ17&gt;=参照データ!$C$109,$BJ17&lt;=参照データ!$C$107),4,IF(AND($BJ17&gt;=参照データ!$C$115,$BJ17&lt;=参照データ!$C$113),5,IF(AND($BJ17&gt;0,$BJ17&lt;=参照データ!$C$116),6,""))))))</f>
        <v/>
      </c>
      <c r="FK17" s="92" t="str">
        <f>IF($AE17="選手権",(VLOOKUP($FJ17,参照データ!$D$92:$K$121,6,0)),"")</f>
        <v/>
      </c>
      <c r="FL17" s="93" t="str">
        <f t="shared" si="19"/>
        <v/>
      </c>
      <c r="FM17" s="92" t="str">
        <f>IF($AG17="選手権",(VLOOKUP($FJ17,参照データ!$D$92:$K$121,7,0)),"")</f>
        <v/>
      </c>
      <c r="FN17" s="93" t="str">
        <f t="shared" si="50"/>
        <v/>
      </c>
      <c r="FO17" s="38" t="str">
        <f t="shared" si="51"/>
        <v/>
      </c>
      <c r="FP17" s="37" t="str">
        <f t="shared" si="52"/>
        <v/>
      </c>
      <c r="FQ17" s="93" t="str">
        <f t="shared" si="53"/>
        <v/>
      </c>
      <c r="FR17" s="976"/>
      <c r="FS17" s="99" t="s">
        <v>91</v>
      </c>
      <c r="FT17" s="100" t="str">
        <f t="shared" si="20"/>
        <v/>
      </c>
      <c r="FU17" s="978"/>
      <c r="FV17" s="356" t="str">
        <f t="shared" ref="FV17" si="71">$FV16</f>
        <v/>
      </c>
      <c r="FY17" s="40">
        <f>(COUNTIF($J17:$O17,"&lt;&gt;"))*参照データ!$E$3</f>
        <v>0</v>
      </c>
      <c r="FZ17" s="267" t="str">
        <f>IF($P17="○",参照データ!$E$4,"")</f>
        <v/>
      </c>
      <c r="GA17" s="19">
        <f>(SUM(COUNTIF($Q17:$U17,{"入門","初級"}))*参照データ!$E$9)+(SUM(COUNTIF($Q17:$U17,{"中級","上級"})*参照データ!$E$10))</f>
        <v>0</v>
      </c>
      <c r="GB17" s="19">
        <f>IFERROR(VLOOKUP($V17,参照データ!$D$9:$J$11,7,0),0)</f>
        <v>0</v>
      </c>
      <c r="GC17" s="19">
        <f>((COUNTIF($Y17:$AG17,"オープン"))*参照データ!$E$12)</f>
        <v>0</v>
      </c>
      <c r="GD17" s="19" t="str">
        <f>(IF($AI17="オープン",参照データ!$J$12,""))</f>
        <v/>
      </c>
      <c r="GE17" s="19">
        <f>(COUNTIF($AN17:$AU17,"○")*参照データ!$E$22)</f>
        <v>0</v>
      </c>
      <c r="GF17" s="19">
        <f>(COUNTIF($AV17:$BA17,"○")*参照データ!$I$22)</f>
        <v>0</v>
      </c>
      <c r="GI17" s="19">
        <f>((COUNTIF($Y17:$AG17,"選手権"))*参照データ!$E$13)</f>
        <v>0</v>
      </c>
      <c r="GJ17" s="19" t="str">
        <f>(IF($AI17="選手権",参照データ!$J$13,""))</f>
        <v/>
      </c>
      <c r="GK17" s="106">
        <f t="array" ref="GK17">SUM(IF(ISERROR(FY17:GJ17),0,(FY17:GJ17)))</f>
        <v>0</v>
      </c>
      <c r="GL17" s="19"/>
      <c r="GM17" s="19">
        <f t="shared" si="54"/>
        <v>0</v>
      </c>
      <c r="GN17" s="19">
        <f t="shared" si="55"/>
        <v>0</v>
      </c>
      <c r="GO17" s="19">
        <f t="shared" si="56"/>
        <v>0</v>
      </c>
      <c r="GP17" s="19">
        <f t="shared" si="21"/>
        <v>0</v>
      </c>
      <c r="GQ17" s="19">
        <f t="shared" si="57"/>
        <v>0</v>
      </c>
      <c r="GR17" s="19">
        <f t="shared" si="58"/>
        <v>0</v>
      </c>
      <c r="GS17" s="19">
        <f t="shared" si="59"/>
        <v>0</v>
      </c>
      <c r="GT17" s="19">
        <f t="shared" si="60"/>
        <v>0</v>
      </c>
      <c r="GU17" s="19">
        <f t="shared" si="61"/>
        <v>0</v>
      </c>
      <c r="GV17" t="str">
        <f t="shared" si="22"/>
        <v/>
      </c>
      <c r="GW17" t="str">
        <f t="shared" si="62"/>
        <v/>
      </c>
      <c r="GX17" t="str">
        <f t="shared" si="23"/>
        <v/>
      </c>
      <c r="GY17" t="str">
        <f t="shared" si="63"/>
        <v/>
      </c>
      <c r="GZ17" t="str">
        <f t="shared" si="24"/>
        <v/>
      </c>
    </row>
    <row r="18" spans="1:208" ht="18.75" customHeight="1" x14ac:dyDescent="0.15">
      <c r="A18">
        <v>7</v>
      </c>
      <c r="B18" s="15" t="str">
        <f>IF(D18="","",IF(D18="重複","",COUNTIF(B$12:$B17,"&gt;0")+1))</f>
        <v/>
      </c>
      <c r="C18" s="713"/>
      <c r="D18" s="185"/>
      <c r="E18" s="185"/>
      <c r="F18" s="36"/>
      <c r="G18" s="47"/>
      <c r="H18" s="402">
        <f t="shared" si="2"/>
        <v>0</v>
      </c>
      <c r="I18" s="201" t="str">
        <f>IF($BJ18=0,"",DATEDIF($BJ18,参照データ!$D$16,"Y"))</f>
        <v/>
      </c>
      <c r="J18" s="41"/>
      <c r="K18" s="41"/>
      <c r="L18" s="41"/>
      <c r="M18" s="41"/>
      <c r="N18" s="41"/>
      <c r="O18" s="49"/>
      <c r="P18" s="395"/>
      <c r="Q18" s="51"/>
      <c r="R18" s="289"/>
      <c r="S18" s="289"/>
      <c r="T18" s="289"/>
      <c r="U18" s="290"/>
      <c r="V18" s="292"/>
      <c r="W18" s="295"/>
      <c r="Y18" s="446"/>
      <c r="Z18" s="396" t="str">
        <f>IF($Y18="オープン",VLOOKUP($CO18,参照データ!$D$69:$M$86,9,0),IF($Y18="選手権",VLOOKUP($FC18,参照データ!$D$92:$O$121,10,0),""))</f>
        <v/>
      </c>
      <c r="AA18" s="446"/>
      <c r="AB18" s="666" t="str">
        <f>IF($AA18="オープン",VLOOKUP($CO18,参照データ!$D$69:$M$86,10,0),IF($AA18="選手権",VLOOKUP($FC18,参照データ!$D$92:$O$121,11,0),""))</f>
        <v/>
      </c>
      <c r="AC18" s="669"/>
      <c r="AD18" s="396" t="str">
        <f>IF($AC18="オープン",VLOOKUP($CO18,参照データ!$D$69:$M$86,10,0),IF($AC18="選手権",VLOOKUP($FC18,参照データ!$D$92:$O$121,11,0),""))</f>
        <v/>
      </c>
      <c r="AE18" s="446"/>
      <c r="AF18" s="396" t="str">
        <f>IF($AE18="オープン",VLOOKUP($CO18,参照データ!$D$69:$M$86,10,0),IF($AE18="選手権",VLOOKUP($FJ18,参照データ!$D$92:$O$121,12,0),""))</f>
        <v/>
      </c>
      <c r="AG18" s="446"/>
      <c r="AH18" s="396" t="str">
        <f>IF($AG18="オープン",VLOOKUP($CO18,参照データ!$D$69:$M$86,10,0),IF($AG18="選手権",VLOOKUP($FJ18,参照データ!$D$92:$O$121,12,0),""))</f>
        <v/>
      </c>
      <c r="AI18" s="446"/>
      <c r="AJ18" s="449"/>
      <c r="AK18" s="396" t="str">
        <f t="shared" si="3"/>
        <v/>
      </c>
      <c r="AL18" s="587"/>
      <c r="AM18" s="588" t="str">
        <f>IF($BJ18=0,"",DATEDIF($BJ18,参照データ!$D$17,"Y"))</f>
        <v/>
      </c>
      <c r="AN18" s="450"/>
      <c r="AO18" s="591" t="str">
        <f>IF(AN18="","",IF($BK18="男子",VLOOKUP($DI18,参照データ!$D$128:$M$145,10,FALSE),VLOOKUP($DH18,参照データ!$D$128:$M$145,10,FALSE)))</f>
        <v/>
      </c>
      <c r="AP18" s="450"/>
      <c r="AQ18" s="591" t="str">
        <f>IF(AP18="","",IF($BK18="男子",VLOOKUP($DI18,参照データ!$D$128:$M$145,10,FALSE),VLOOKUP($DH18,参照データ!$D$128:$M$145,10,FALSE)))</f>
        <v/>
      </c>
      <c r="AR18" s="450"/>
      <c r="AS18" s="591" t="str">
        <f>IF(AR18="","",IF($BK18="男子",VLOOKUP($DI18,参照データ!$D$128:$M$145,10,FALSE),VLOOKUP($DH18,参照データ!$D$128:$M$145,10,FALSE)))</f>
        <v/>
      </c>
      <c r="AT18" s="450"/>
      <c r="AU18" s="591" t="str">
        <f>IF(AT18="","",IF($BK18="男子",VLOOKUP($DI18,参照データ!$D$128:$M$145,10,FALSE),VLOOKUP($DH18,参照データ!$D$128:$M$145,10,FALSE)))</f>
        <v/>
      </c>
      <c r="AV18" s="448"/>
      <c r="AW18" s="448"/>
      <c r="AX18" s="585" t="str">
        <f t="shared" si="25"/>
        <v/>
      </c>
      <c r="AY18" s="448"/>
      <c r="AZ18" s="448"/>
      <c r="BA18" s="585" t="str">
        <f t="shared" si="4"/>
        <v/>
      </c>
      <c r="BB18" s="677"/>
      <c r="BC18" s="724"/>
      <c r="BD18" s="640"/>
      <c r="BE18" s="623"/>
      <c r="BF18" s="365"/>
      <c r="BG18" s="366"/>
      <c r="BI18" s="477" t="s">
        <v>152</v>
      </c>
      <c r="BJ18">
        <f t="shared" si="68"/>
        <v>0</v>
      </c>
      <c r="BK18" t="str">
        <f t="shared" si="65"/>
        <v/>
      </c>
      <c r="BL18" s="146"/>
      <c r="BO18" s="61" t="str">
        <f>IF($BJ18=0,"",IF(AND($I18&gt;=6,$I18&lt;=19),VLOOKUP($I18,参照データ!$B$28:$C$41,2,0),IF($I18&lt;6,6,19)))</f>
        <v/>
      </c>
      <c r="BP18" s="178" t="str">
        <f>IF($J18=$BI$12,VLOOKUP($BO18,参照データ!$C$28:$I$41,2,0),"")</f>
        <v/>
      </c>
      <c r="BQ18" s="169" t="str">
        <f>IF($K18=$BI$12,VLOOKUP($BO18,参照データ!$C$28:$I$41,3,0),"")</f>
        <v/>
      </c>
      <c r="BR18" s="169" t="str">
        <f>IF($L18=$BI$12,VLOOKUP($BO18,参照データ!$C$28:$I$41,4,0),"")</f>
        <v/>
      </c>
      <c r="BS18" s="169" t="str">
        <f>IF($M18=$BI$12,VLOOKUP($BO18,参照データ!$C$28:$I$41,5,0),"")</f>
        <v/>
      </c>
      <c r="BT18" s="169" t="str">
        <f>IF($N18=$BI$12,VLOOKUP($BO18,参照データ!$C$28:$I$41,6,0),"")</f>
        <v/>
      </c>
      <c r="BU18" s="179" t="str">
        <f>IF($O18=$BI$12,VLOOKUP($BO18,参照データ!$C$28:$I$41,7,0),"")</f>
        <v/>
      </c>
      <c r="BV18" s="178" t="str">
        <f>IF($J18=$BI$13,VLOOKUP($BO18,参照データ!$C$28:$I$41,2,0),"")</f>
        <v/>
      </c>
      <c r="BW18" s="169" t="str">
        <f>IF($K18=$BI$13,VLOOKUP($BO18,参照データ!$C$28:$I$41,3,0),"")</f>
        <v/>
      </c>
      <c r="BX18" s="169" t="str">
        <f>IF($L18=$BI$13,VLOOKUP($BO18,参照データ!$C$28:$I$41,4,0),"")</f>
        <v/>
      </c>
      <c r="BY18" s="169" t="str">
        <f>IF($M18=$BI$13,VLOOKUP($BO18,参照データ!$C$28:$I$41,5,0),"")</f>
        <v/>
      </c>
      <c r="BZ18" s="169" t="str">
        <f>IF($N18=$BI$13,VLOOKUP($BO18,参照データ!$C$28:$I$41,6,0),"")</f>
        <v/>
      </c>
      <c r="CA18" s="179" t="str">
        <f>IF($O18=$BI$13,VLOOKUP($BO18,参照データ!$C$28:$I$41,7,0),"")</f>
        <v/>
      </c>
      <c r="CB18" s="271" t="str">
        <f t="shared" si="26"/>
        <v/>
      </c>
      <c r="CC18" s="177" t="str">
        <f>IF($Q18="入門",VLOOKUP($BO18,参照データ!$C$47:$U$60,2,0),IF($Q18="初級",VLOOKUP($BO18,参照データ!$C$47:$U$60,3,0),IF($Q18="中級",VLOOKUP($BO18,参照データ!$C$47:$U$60,4,0),IF($Q18="上級",VLOOKUP($BO18,参照データ!$C$47:$U$60,5,0),""))))</f>
        <v/>
      </c>
      <c r="CD18" s="177" t="str">
        <f>IF($R18="初級",VLOOKUP($BO18,参照データ!$C$47:$U$60,6,0),IF($R18="中級",VLOOKUP($BO18,参照データ!$C$47:$U$60,7,0),IF($R18="上級",VLOOKUP($BO18,参照データ!$C$47:$U$60,8,0),"")))</f>
        <v/>
      </c>
      <c r="CE18" s="177" t="str">
        <f>IF($S18="初級",VLOOKUP($BO18,参照データ!$C$47:$U$60,9,0),IF($S18="上級",VLOOKUP($BO18,参照データ!$C$47:$U$60,10,0),""))</f>
        <v/>
      </c>
      <c r="CF18" s="177" t="str">
        <f>IF($T18="初級",VLOOKUP($BO18,参照データ!$C$47:$U$60,11,0),IF($T18="中級",VLOOKUP($BO18,参照データ!$C$47:$U$60,12,0),IF($T18="上級",VLOOKUP($BO18,参照データ!$C$47:$U$60,13,0),"")))</f>
        <v/>
      </c>
      <c r="CG18" s="177" t="str">
        <f>IF($U18="初級",VLOOKUP($BO18,参照データ!$C$47:$U$60,14,0),IF($U18="中級",VLOOKUP($BO18,参照データ!$C$47:$U$60,15,0),IF($U18="上級",VLOOKUP($BO18,参照データ!$C$47:$U$60,16,0),"")))</f>
        <v/>
      </c>
      <c r="CH18" s="55" t="str">
        <f t="shared" si="5"/>
        <v/>
      </c>
      <c r="CI18" s="55" t="str">
        <f>IF($V18="初級",VLOOKUP($BO18,参照データ!$C$47:$U$60,17,0),IF($V18="中級",VLOOKUP($BO18,参照データ!$C$47:$U$60,18,0),IF($V18="上級",VLOOKUP($BO18,参照データ!$C$47:$U$60,19,0),"")))</f>
        <v/>
      </c>
      <c r="CJ18" s="867">
        <v>4</v>
      </c>
      <c r="CK18" s="74" t="s">
        <v>242</v>
      </c>
      <c r="CL18" s="151" t="str">
        <f t="shared" si="6"/>
        <v/>
      </c>
      <c r="CM18" s="871" t="str">
        <f t="shared" ref="CM18" si="72">IF(OR($CL18="",$CL19=""),"",IF($CL18&gt;$CL19,$CL18,$CL19))</f>
        <v/>
      </c>
      <c r="CO18" s="61">
        <f>IF(AND($BJ18&gt;=参照データ!$C$71,$BJ18&lt;=参照データ!$C$69),1,IF(AND($BJ18&gt;=参照データ!$C$74,$BJ18&lt;=参照データ!$C$72),2,IF(AND($BJ18&gt;=参照データ!$C$77,$BJ18&lt;=参照データ!$C$75),3,IF(AND($BJ18&gt;=参照データ!$C$80,$BJ18&lt;=参照データ!$C$78),4,IF(AND($BJ18&gt;=参照データ!$C$83,$BJ18&lt;=参照データ!$C$81),5,IF(AND($BJ18&gt;0,$BJ18&lt;=参照データ!$C$84),6,""))))))</f>
        <v>5</v>
      </c>
      <c r="CP18" s="160" t="str">
        <f>IF($Y18="オープン",(VLOOKUP($CO18,参照データ!$D$69:$J$86,2,0)),"")</f>
        <v/>
      </c>
      <c r="CQ18" s="79" t="str">
        <f t="shared" si="27"/>
        <v/>
      </c>
      <c r="CR18" s="78" t="str">
        <f>IF($AA18="オープン",(VLOOKUP($CO18,参照データ!$D$69:$J$86,3,0)),"")</f>
        <v/>
      </c>
      <c r="CS18" s="79" t="str">
        <f t="shared" si="28"/>
        <v/>
      </c>
      <c r="CT18" s="78" t="str">
        <f>IF($AC18="オープン",(VLOOKUP($CO18,参照データ!$D$69:$J$86,4,0)),"")</f>
        <v/>
      </c>
      <c r="CU18" s="79" t="str">
        <f t="shared" si="29"/>
        <v/>
      </c>
      <c r="CV18" s="78" t="str">
        <f>IF($AE18="オープン",(VLOOKUP($CO18,参照データ!$D$69:$J$86,5,0)),"")</f>
        <v/>
      </c>
      <c r="CW18" s="79" t="str">
        <f t="shared" si="7"/>
        <v/>
      </c>
      <c r="CX18" s="78" t="str">
        <f>IF($AG18="オープン",(VLOOKUP($CO18,参照データ!$D$69:$J$86,6,0)),"")</f>
        <v/>
      </c>
      <c r="CY18" s="79" t="str">
        <f t="shared" si="30"/>
        <v/>
      </c>
      <c r="CZ18" s="38" t="str">
        <f t="shared" si="31"/>
        <v/>
      </c>
      <c r="DA18" s="37" t="str">
        <f t="shared" si="32"/>
        <v/>
      </c>
      <c r="DB18" s="79" t="str">
        <f t="shared" si="33"/>
        <v/>
      </c>
      <c r="DC18" s="857">
        <v>4</v>
      </c>
      <c r="DD18" s="87" t="s">
        <v>92</v>
      </c>
      <c r="DE18" s="88" t="str">
        <f t="shared" si="34"/>
        <v/>
      </c>
      <c r="DF18" s="859" t="e">
        <f>IF($DE18&gt;$DE19,VLOOKUP($DE18,参照データ!$D$69:$J$86,7,0),VLOOKUP($DE19,参照データ!$D$69:$J$86,7,0))</f>
        <v>#N/A</v>
      </c>
      <c r="DG18" s="350" t="str">
        <f>IFERROR(VLOOKUP($DF18,参照データ!$J$69:$M$86,4,0),"")</f>
        <v/>
      </c>
      <c r="DH18" s="523">
        <f>IF(AND($BJ18&gt;=参照データ!$C$130,$BJ18&lt;=参照データ!$C$128),1,IF(AND($BJ18&gt;=参照データ!$C$133,$BJ18&lt;=参照データ!$C$131),2,IF(AND($BJ18&gt;=参照データ!$C$139,$BJ18&lt;=参照データ!$C$137),3,IF(AND($BJ18&gt;0,$BJ18&lt;=参照データ!$C$140),4,""))))</f>
        <v>1</v>
      </c>
      <c r="DI18" s="523">
        <f t="shared" si="35"/>
        <v>7</v>
      </c>
      <c r="DJ18" s="523" t="str">
        <f t="shared" si="36"/>
        <v/>
      </c>
      <c r="DK18" s="524" t="str">
        <f>IF($AN18="","",IF(AND($AN18="○",$BK18="男子"),VLOOKUP($DI18,参照データ!$D$128:$J$145,3,FALSE),VLOOKUP($DH18,参照データ!$D$128:$J$145,3,FALSE)))</f>
        <v/>
      </c>
      <c r="DL18" s="525" t="str">
        <f t="shared" si="37"/>
        <v/>
      </c>
      <c r="DM18" s="524" t="str">
        <f>IF($AP18="","",IF(AND($AP18="○",$BK18="男子"),VLOOKUP($DI18,参照データ!$D$128:$J$145,4,FALSE),VLOOKUP($DH18,参照データ!$D$128:$J$145,4,FALSE)))</f>
        <v/>
      </c>
      <c r="DN18" s="525" t="str">
        <f t="shared" si="38"/>
        <v/>
      </c>
      <c r="DO18" s="524" t="str">
        <f>IF($AR18="","",IF(AND($AR18="○",$BK18="男子"),VLOOKUP($DI18,参照データ!$D$128:$J$145,5,FALSE),VLOOKUP($DH18,参照データ!$D$128:$J$145,5,FALSE)))</f>
        <v/>
      </c>
      <c r="DP18" s="525" t="str">
        <f t="shared" si="39"/>
        <v/>
      </c>
      <c r="DQ18" s="524" t="str">
        <f>IF($AT18="","",IF(AND($AT18="○",$BK18="男子"),VLOOKUP($DI18,参照データ!$D$128:$J$145,6,FALSE),VLOOKUP($DH18,参照データ!$D$128:$J$145,6,FALSE)))</f>
        <v/>
      </c>
      <c r="DR18" s="525" t="str">
        <f t="shared" si="40"/>
        <v/>
      </c>
      <c r="DS18" s="526" t="str">
        <f t="shared" si="41"/>
        <v/>
      </c>
      <c r="DT18" s="527" t="str">
        <f t="shared" si="42"/>
        <v/>
      </c>
      <c r="DU18" s="528" t="str">
        <f t="shared" si="43"/>
        <v/>
      </c>
      <c r="DV18" s="982">
        <v>4</v>
      </c>
      <c r="DW18" s="533" t="s">
        <v>92</v>
      </c>
      <c r="DX18" s="534" t="str">
        <f t="shared" si="8"/>
        <v/>
      </c>
      <c r="DY18" s="876" t="e">
        <f>IF($DX18&gt;$DX19,VLOOKUP($DX18,参照データ!$D$128:$K$145,7,0),VLOOKUP($DX19,参照データ!$D$128:$K$145,7,0))</f>
        <v>#N/A</v>
      </c>
      <c r="DZ18" s="692" t="str">
        <f>IFERROR(VLOOKUP($DY18,参照データ!$J$128:$N$145,5,0),"")</f>
        <v/>
      </c>
      <c r="EA18" s="526" t="str">
        <f t="shared" si="9"/>
        <v/>
      </c>
      <c r="EB18" s="527" t="str">
        <f t="shared" si="10"/>
        <v/>
      </c>
      <c r="EC18" s="528" t="str">
        <f t="shared" si="11"/>
        <v/>
      </c>
      <c r="ED18" s="982">
        <v>4</v>
      </c>
      <c r="EE18" s="533" t="s">
        <v>92</v>
      </c>
      <c r="EF18" s="533" t="str">
        <f t="shared" si="12"/>
        <v/>
      </c>
      <c r="EG18" s="534" t="str">
        <f>IF(SUM(EF18:EF19)&lt;24,"",IF(SUM(EF18:EF19)&gt;=36,3,2))</f>
        <v/>
      </c>
      <c r="EH18" s="876" t="e">
        <f>IF($EG18&gt;$EG19,VLOOKUP($EG18,参照データ!$D$128:$K$145,8,0),VLOOKUP($EG19,参照データ!$D$128:$K$145,8,0))</f>
        <v>#N/A</v>
      </c>
      <c r="EI18" s="527" t="str">
        <f>IFERROR(VLOOKUP($EH18,参照データ!$K$128:$N$145,4,0),"")</f>
        <v/>
      </c>
      <c r="EJ18" s="555" t="str">
        <f t="shared" si="13"/>
        <v/>
      </c>
      <c r="EK18" s="556" t="str">
        <f t="shared" si="44"/>
        <v/>
      </c>
      <c r="EL18" s="846"/>
      <c r="EM18" s="561" t="s">
        <v>756</v>
      </c>
      <c r="EN18" s="562" t="str">
        <f t="shared" si="45"/>
        <v/>
      </c>
      <c r="EO18" s="849"/>
      <c r="EP18" s="555" t="str">
        <f t="shared" si="14"/>
        <v/>
      </c>
      <c r="EQ18" s="556" t="str">
        <f t="shared" si="46"/>
        <v/>
      </c>
      <c r="ER18" s="846"/>
      <c r="ES18" s="561" t="s">
        <v>756</v>
      </c>
      <c r="ET18" s="562" t="str">
        <f t="shared" si="47"/>
        <v/>
      </c>
      <c r="EU18" s="849"/>
      <c r="EV18" s="38" t="str">
        <f t="shared" si="15"/>
        <v/>
      </c>
      <c r="EW18" s="552" t="str">
        <f t="shared" si="48"/>
        <v/>
      </c>
      <c r="EX18" s="833"/>
      <c r="EY18" s="559" t="s">
        <v>756</v>
      </c>
      <c r="EZ18" s="560" t="str">
        <f t="shared" si="49"/>
        <v/>
      </c>
      <c r="FA18" s="835"/>
      <c r="FB18" t="str">
        <f>IF($FC18="","",DATEDIF($BJ18,参照データ!$D$19,"Y"))</f>
        <v/>
      </c>
      <c r="FC18" s="298" t="str">
        <f>IFERROR(IF($BK18="男子",VLOOKUP($FJ18,参照データ!$D$92:$E$118,2,0),$FJ18),0)</f>
        <v/>
      </c>
      <c r="FD18" s="92" t="str">
        <f>IF($Y18="選手権",(VLOOKUP($FC18,参照データ!$D$92:$K$121,3,0)),"")</f>
        <v/>
      </c>
      <c r="FE18" s="93" t="str">
        <f t="shared" si="16"/>
        <v/>
      </c>
      <c r="FF18" s="92" t="str">
        <f>IF($AA18="選手権",(VLOOKUP($FC18,参照データ!$D$92:$K$121,4,0)),"")</f>
        <v/>
      </c>
      <c r="FG18" s="93" t="str">
        <f t="shared" si="17"/>
        <v/>
      </c>
      <c r="FH18" s="92" t="str">
        <f>IF($AC18="選手権",(VLOOKUP($FC18,参照データ!$D$92:$K$121,5,0)),"")</f>
        <v/>
      </c>
      <c r="FI18" s="93" t="str">
        <f t="shared" si="18"/>
        <v/>
      </c>
      <c r="FJ18" s="61" t="str">
        <f>IF(AND($BJ18&gt;=参照データ!$C$94,$BJ18&lt;=参照データ!$C$92),1,IF(AND($BJ18&gt;=参照データ!$C$97,$BJ18&lt;=参照データ!$C$95),2,IF(AND($BJ18&gt;=参照データ!$C$103,$BJ18&lt;=参照データ!$C$101),3,IF(AND($BJ18&gt;=参照データ!$C$109,$BJ18&lt;=参照データ!$C$107),4,IF(AND($BJ18&gt;=参照データ!$C$115,$BJ18&lt;=参照データ!$C$113),5,IF(AND($BJ18&gt;0,$BJ18&lt;=参照データ!$C$116),6,""))))))</f>
        <v/>
      </c>
      <c r="FK18" s="92" t="str">
        <f>IF($AE18="選手権",(VLOOKUP($FJ18,参照データ!$D$92:$K$121,6,0)),"")</f>
        <v/>
      </c>
      <c r="FL18" s="93" t="str">
        <f t="shared" si="19"/>
        <v/>
      </c>
      <c r="FM18" s="92" t="str">
        <f>IF($AG18="選手権",(VLOOKUP($FJ18,参照データ!$D$92:$K$121,7,0)),"")</f>
        <v/>
      </c>
      <c r="FN18" s="93" t="str">
        <f t="shared" si="50"/>
        <v/>
      </c>
      <c r="FO18" s="38" t="str">
        <f t="shared" si="51"/>
        <v/>
      </c>
      <c r="FP18" s="37" t="str">
        <f t="shared" si="52"/>
        <v/>
      </c>
      <c r="FQ18" s="93" t="str">
        <f t="shared" si="53"/>
        <v/>
      </c>
      <c r="FR18" s="979">
        <v>4</v>
      </c>
      <c r="FS18" s="101" t="s">
        <v>92</v>
      </c>
      <c r="FT18" s="102" t="str">
        <f t="shared" si="20"/>
        <v/>
      </c>
      <c r="FU18" s="980" t="e">
        <f>IF($FT18&gt;$FT19,VLOOKUP($FT18,参照データ!$D$92:$K$121,8,0),VLOOKUP($FT19,参照データ!$D$92:$K$121,8,0))</f>
        <v>#N/A</v>
      </c>
      <c r="FV18" s="356" t="str">
        <f>IFERROR(VLOOKUP($FU18,参照データ!$K$92:$O$121,5,0),"")</f>
        <v/>
      </c>
      <c r="FY18" s="40">
        <f>(COUNTIF($J18:$O18,"&lt;&gt;"))*参照データ!$E$3</f>
        <v>0</v>
      </c>
      <c r="FZ18" s="267" t="str">
        <f>IF($P18="○",参照データ!$E$4,"")</f>
        <v/>
      </c>
      <c r="GA18" s="19">
        <f>(SUM(COUNTIF($Q18:$U18,{"入門","初級"}))*参照データ!$E$9)+(SUM(COUNTIF($Q18:$U18,{"中級","上級"})*参照データ!$E$10))</f>
        <v>0</v>
      </c>
      <c r="GB18" s="19">
        <f>IFERROR(VLOOKUP($V18,参照データ!$D$9:$J$11,7,0),0)</f>
        <v>0</v>
      </c>
      <c r="GC18" s="19">
        <f>((COUNTIF($Y18:$AG18,"オープン"))*参照データ!$E$12)</f>
        <v>0</v>
      </c>
      <c r="GD18" s="19" t="str">
        <f>(IF($AI18="オープン",参照データ!$J$12,""))</f>
        <v/>
      </c>
      <c r="GE18" s="19">
        <f>(COUNTIF($AN18:$AU18,"○")*参照データ!$E$22)</f>
        <v>0</v>
      </c>
      <c r="GF18" s="19">
        <f>(COUNTIF($AV18:$BA18,"○")*参照データ!$I$22)</f>
        <v>0</v>
      </c>
      <c r="GI18" s="19">
        <f>((COUNTIF($Y18:$AG18,"選手権"))*参照データ!$E$13)</f>
        <v>0</v>
      </c>
      <c r="GJ18" s="19" t="str">
        <f>(IF($AI18="選手権",参照データ!$J$13,""))</f>
        <v/>
      </c>
      <c r="GK18" s="106">
        <f t="array" ref="GK18">SUM(IF(ISERROR(FY18:GJ18),0,(FY18:GJ18)))</f>
        <v>0</v>
      </c>
      <c r="GL18" s="19"/>
      <c r="GM18" s="19">
        <f t="shared" si="54"/>
        <v>0</v>
      </c>
      <c r="GN18" s="19">
        <f t="shared" si="55"/>
        <v>0</v>
      </c>
      <c r="GO18" s="19">
        <f t="shared" si="56"/>
        <v>0</v>
      </c>
      <c r="GP18" s="19">
        <f t="shared" si="21"/>
        <v>0</v>
      </c>
      <c r="GQ18" s="19">
        <f t="shared" si="57"/>
        <v>0</v>
      </c>
      <c r="GR18" s="19">
        <f t="shared" si="58"/>
        <v>0</v>
      </c>
      <c r="GS18" s="19">
        <f t="shared" si="59"/>
        <v>0</v>
      </c>
      <c r="GT18" s="19">
        <f t="shared" si="60"/>
        <v>0</v>
      </c>
      <c r="GU18" s="19">
        <f t="shared" si="61"/>
        <v>0</v>
      </c>
      <c r="GV18" t="str">
        <f t="shared" si="22"/>
        <v/>
      </c>
      <c r="GW18" t="str">
        <f t="shared" si="62"/>
        <v/>
      </c>
      <c r="GX18" t="str">
        <f t="shared" si="23"/>
        <v/>
      </c>
      <c r="GY18" t="str">
        <f t="shared" si="63"/>
        <v/>
      </c>
      <c r="GZ18" t="str">
        <f t="shared" si="24"/>
        <v/>
      </c>
    </row>
    <row r="19" spans="1:208" ht="18.75" customHeight="1" thickBot="1" x14ac:dyDescent="0.2">
      <c r="A19">
        <v>8</v>
      </c>
      <c r="B19" s="15" t="str">
        <f>IF(D19="","",IF(D19="重複","",COUNTIF(B$12:$B18,"&gt;0")+1))</f>
        <v/>
      </c>
      <c r="C19" s="713"/>
      <c r="D19" s="185"/>
      <c r="E19" s="185"/>
      <c r="F19" s="36"/>
      <c r="G19" s="47"/>
      <c r="H19" s="402">
        <f t="shared" si="2"/>
        <v>0</v>
      </c>
      <c r="I19" s="201" t="str">
        <f>IF($BJ19=0,"",DATEDIF($BJ19,参照データ!$D$16,"Y"))</f>
        <v/>
      </c>
      <c r="J19" s="41"/>
      <c r="K19" s="41"/>
      <c r="L19" s="41"/>
      <c r="M19" s="41"/>
      <c r="N19" s="41"/>
      <c r="O19" s="49"/>
      <c r="P19" s="395"/>
      <c r="Q19" s="51"/>
      <c r="R19" s="289"/>
      <c r="S19" s="289"/>
      <c r="T19" s="289"/>
      <c r="U19" s="290"/>
      <c r="V19" s="292"/>
      <c r="W19" s="295"/>
      <c r="Y19" s="446"/>
      <c r="Z19" s="396" t="str">
        <f>IF($Y19="オープン",VLOOKUP($CO19,参照データ!$D$69:$M$86,9,0),IF($Y19="選手権",VLOOKUP($FC19,参照データ!$D$92:$O$121,10,0),""))</f>
        <v/>
      </c>
      <c r="AA19" s="446"/>
      <c r="AB19" s="666" t="str">
        <f>IF($AA19="オープン",VLOOKUP($CO19,参照データ!$D$69:$M$86,10,0),IF($AA19="選手権",VLOOKUP($FC19,参照データ!$D$92:$O$121,11,0),""))</f>
        <v/>
      </c>
      <c r="AC19" s="669"/>
      <c r="AD19" s="396" t="str">
        <f>IF($AC19="オープン",VLOOKUP($CO19,参照データ!$D$69:$M$86,10,0),IF($AC19="選手権",VLOOKUP($FC19,参照データ!$D$92:$O$121,11,0),""))</f>
        <v/>
      </c>
      <c r="AE19" s="446"/>
      <c r="AF19" s="396" t="str">
        <f>IF($AE19="オープン",VLOOKUP($CO19,参照データ!$D$69:$M$86,10,0),IF($AE19="選手権",VLOOKUP($FJ19,参照データ!$D$92:$O$121,12,0),""))</f>
        <v/>
      </c>
      <c r="AG19" s="446"/>
      <c r="AH19" s="396" t="str">
        <f>IF($AG19="オープン",VLOOKUP($CO19,参照データ!$D$69:$M$86,10,0),IF($AG19="選手権",VLOOKUP($FJ19,参照データ!$D$92:$O$121,12,0),""))</f>
        <v/>
      </c>
      <c r="AI19" s="446"/>
      <c r="AJ19" s="449"/>
      <c r="AK19" s="396" t="str">
        <f t="shared" si="3"/>
        <v/>
      </c>
      <c r="AL19" s="587"/>
      <c r="AM19" s="588" t="str">
        <f>IF($BJ19=0,"",DATEDIF($BJ19,参照データ!$D$17,"Y"))</f>
        <v/>
      </c>
      <c r="AN19" s="450"/>
      <c r="AO19" s="591" t="str">
        <f>IF(AN19="","",IF($BK19="男子",VLOOKUP($DI19,参照データ!$D$128:$M$145,10,FALSE),VLOOKUP($DH19,参照データ!$D$128:$M$145,10,FALSE)))</f>
        <v/>
      </c>
      <c r="AP19" s="450"/>
      <c r="AQ19" s="591" t="str">
        <f>IF(AP19="","",IF($BK19="男子",VLOOKUP($DI19,参照データ!$D$128:$M$145,10,FALSE),VLOOKUP($DH19,参照データ!$D$128:$M$145,10,FALSE)))</f>
        <v/>
      </c>
      <c r="AR19" s="450"/>
      <c r="AS19" s="591" t="str">
        <f>IF(AR19="","",IF($BK19="男子",VLOOKUP($DI19,参照データ!$D$128:$M$145,10,FALSE),VLOOKUP($DH19,参照データ!$D$128:$M$145,10,FALSE)))</f>
        <v/>
      </c>
      <c r="AT19" s="450"/>
      <c r="AU19" s="591" t="str">
        <f>IF(AT19="","",IF($BK19="男子",VLOOKUP($DI19,参照データ!$D$128:$M$145,10,FALSE),VLOOKUP($DH19,参照データ!$D$128:$M$145,10,FALSE)))</f>
        <v/>
      </c>
      <c r="AV19" s="448"/>
      <c r="AW19" s="448"/>
      <c r="AX19" s="585" t="str">
        <f t="shared" si="25"/>
        <v/>
      </c>
      <c r="AY19" s="448"/>
      <c r="AZ19" s="448"/>
      <c r="BA19" s="585" t="str">
        <f t="shared" si="4"/>
        <v/>
      </c>
      <c r="BB19" s="677"/>
      <c r="BC19" s="724"/>
      <c r="BD19" s="640"/>
      <c r="BE19" s="623"/>
      <c r="BF19" s="365"/>
      <c r="BG19" s="366"/>
      <c r="BI19" s="475" t="s">
        <v>154</v>
      </c>
      <c r="BJ19">
        <f t="shared" si="68"/>
        <v>0</v>
      </c>
      <c r="BK19" t="str">
        <f t="shared" si="65"/>
        <v/>
      </c>
      <c r="BL19" s="146"/>
      <c r="BO19" s="61" t="str">
        <f>IF($BJ19=0,"",IF(AND($I19&gt;=6,$I19&lt;=19),VLOOKUP($I19,参照データ!$B$28:$C$41,2,0),IF($I19&lt;6,6,19)))</f>
        <v/>
      </c>
      <c r="BP19" s="178" t="str">
        <f>IF($J19=$BI$12,VLOOKUP($BO19,参照データ!$C$28:$I$41,2,0),"")</f>
        <v/>
      </c>
      <c r="BQ19" s="169" t="str">
        <f>IF($K19=$BI$12,VLOOKUP($BO19,参照データ!$C$28:$I$41,3,0),"")</f>
        <v/>
      </c>
      <c r="BR19" s="169" t="str">
        <f>IF($L19=$BI$12,VLOOKUP($BO19,参照データ!$C$28:$I$41,4,0),"")</f>
        <v/>
      </c>
      <c r="BS19" s="169" t="str">
        <f>IF($M19=$BI$12,VLOOKUP($BO19,参照データ!$C$28:$I$41,5,0),"")</f>
        <v/>
      </c>
      <c r="BT19" s="169" t="str">
        <f>IF($N19=$BI$12,VLOOKUP($BO19,参照データ!$C$28:$I$41,6,0),"")</f>
        <v/>
      </c>
      <c r="BU19" s="179" t="str">
        <f>IF($O19=$BI$12,VLOOKUP($BO19,参照データ!$C$28:$I$41,7,0),"")</f>
        <v/>
      </c>
      <c r="BV19" s="178" t="str">
        <f>IF($J19=$BI$13,VLOOKUP($BO19,参照データ!$C$28:$I$41,2,0),"")</f>
        <v/>
      </c>
      <c r="BW19" s="169" t="str">
        <f>IF($K19=$BI$13,VLOOKUP($BO19,参照データ!$C$28:$I$41,3,0),"")</f>
        <v/>
      </c>
      <c r="BX19" s="169" t="str">
        <f>IF($L19=$BI$13,VLOOKUP($BO19,参照データ!$C$28:$I$41,4,0),"")</f>
        <v/>
      </c>
      <c r="BY19" s="169" t="str">
        <f>IF($M19=$BI$13,VLOOKUP($BO19,参照データ!$C$28:$I$41,5,0),"")</f>
        <v/>
      </c>
      <c r="BZ19" s="169" t="str">
        <f>IF($N19=$BI$13,VLOOKUP($BO19,参照データ!$C$28:$I$41,6,0),"")</f>
        <v/>
      </c>
      <c r="CA19" s="179" t="str">
        <f>IF($O19=$BI$13,VLOOKUP($BO19,参照データ!$C$28:$I$41,7,0),"")</f>
        <v/>
      </c>
      <c r="CB19" s="271" t="str">
        <f t="shared" si="26"/>
        <v/>
      </c>
      <c r="CC19" s="177" t="str">
        <f>IF($Q19="入門",VLOOKUP($BO19,参照データ!$C$47:$U$60,2,0),IF($Q19="初級",VLOOKUP($BO19,参照データ!$C$47:$U$60,3,0),IF($Q19="中級",VLOOKUP($BO19,参照データ!$C$47:$U$60,4,0),IF($Q19="上級",VLOOKUP($BO19,参照データ!$C$47:$U$60,5,0),""))))</f>
        <v/>
      </c>
      <c r="CD19" s="177" t="str">
        <f>IF($R19="初級",VLOOKUP($BO19,参照データ!$C$47:$U$60,6,0),IF($R19="中級",VLOOKUP($BO19,参照データ!$C$47:$U$60,7,0),IF($R19="上級",VLOOKUP($BO19,参照データ!$C$47:$U$60,8,0),"")))</f>
        <v/>
      </c>
      <c r="CE19" s="177" t="str">
        <f>IF($S19="初級",VLOOKUP($BO19,参照データ!$C$47:$U$60,9,0),IF($S19="上級",VLOOKUP($BO19,参照データ!$C$47:$U$60,10,0),""))</f>
        <v/>
      </c>
      <c r="CF19" s="177" t="str">
        <f>IF($T19="初級",VLOOKUP($BO19,参照データ!$C$47:$U$60,11,0),IF($T19="中級",VLOOKUP($BO19,参照データ!$C$47:$U$60,12,0),IF($T19="上級",VLOOKUP($BO19,参照データ!$C$47:$U$60,13,0),"")))</f>
        <v/>
      </c>
      <c r="CG19" s="177" t="str">
        <f>IF($U19="初級",VLOOKUP($BO19,参照データ!$C$47:$U$60,14,0),IF($U19="中級",VLOOKUP($BO19,参照データ!$C$47:$U$60,15,0),IF($U19="上級",VLOOKUP($BO19,参照データ!$C$47:$U$60,16,0),"")))</f>
        <v/>
      </c>
      <c r="CH19" s="55" t="str">
        <f t="shared" si="5"/>
        <v/>
      </c>
      <c r="CI19" s="55" t="str">
        <f>IF($V19="初級",VLOOKUP($BO19,参照データ!$C$47:$U$60,17,0),IF($V19="中級",VLOOKUP($BO19,参照データ!$C$47:$U$60,18,0),IF($V19="上級",VLOOKUP($BO19,参照データ!$C$47:$U$60,19,0),"")))</f>
        <v/>
      </c>
      <c r="CJ19" s="868"/>
      <c r="CK19" s="73" t="s">
        <v>243</v>
      </c>
      <c r="CL19" s="150" t="str">
        <f t="shared" si="6"/>
        <v/>
      </c>
      <c r="CM19" s="872"/>
      <c r="CO19" s="61">
        <f>IF(AND($BJ19&gt;=参照データ!$C$71,$BJ19&lt;=参照データ!$C$69),1,IF(AND($BJ19&gt;=参照データ!$C$74,$BJ19&lt;=参照データ!$C$72),2,IF(AND($BJ19&gt;=参照データ!$C$77,$BJ19&lt;=参照データ!$C$75),3,IF(AND($BJ19&gt;=参照データ!$C$80,$BJ19&lt;=参照データ!$C$78),4,IF(AND($BJ19&gt;=参照データ!$C$83,$BJ19&lt;=参照データ!$C$81),5,IF(AND($BJ19&gt;0,$BJ19&lt;=参照データ!$C$84),6,""))))))</f>
        <v>5</v>
      </c>
      <c r="CP19" s="160" t="str">
        <f>IF($Y19="オープン",(VLOOKUP($CO19,参照データ!$D$69:$J$86,2,0)),"")</f>
        <v/>
      </c>
      <c r="CQ19" s="79" t="str">
        <f t="shared" si="27"/>
        <v/>
      </c>
      <c r="CR19" s="78" t="str">
        <f>IF($AA19="オープン",(VLOOKUP($CO19,参照データ!$D$69:$J$86,3,0)),"")</f>
        <v/>
      </c>
      <c r="CS19" s="79" t="str">
        <f t="shared" si="28"/>
        <v/>
      </c>
      <c r="CT19" s="78" t="str">
        <f>IF($AC19="オープン",(VLOOKUP($CO19,参照データ!$D$69:$J$86,4,0)),"")</f>
        <v/>
      </c>
      <c r="CU19" s="79" t="str">
        <f t="shared" si="29"/>
        <v/>
      </c>
      <c r="CV19" s="78" t="str">
        <f>IF($AE19="オープン",(VLOOKUP($CO19,参照データ!$D$69:$J$86,5,0)),"")</f>
        <v/>
      </c>
      <c r="CW19" s="79" t="str">
        <f t="shared" si="7"/>
        <v/>
      </c>
      <c r="CX19" s="78" t="str">
        <f>IF($AG19="オープン",(VLOOKUP($CO19,参照データ!$D$69:$J$86,6,0)),"")</f>
        <v/>
      </c>
      <c r="CY19" s="79" t="str">
        <f t="shared" si="30"/>
        <v/>
      </c>
      <c r="CZ19" s="38" t="str">
        <f t="shared" si="31"/>
        <v/>
      </c>
      <c r="DA19" s="37" t="str">
        <f t="shared" si="32"/>
        <v/>
      </c>
      <c r="DB19" s="79" t="str">
        <f t="shared" si="33"/>
        <v/>
      </c>
      <c r="DC19" s="858"/>
      <c r="DD19" s="85" t="s">
        <v>93</v>
      </c>
      <c r="DE19" s="86" t="str">
        <f t="shared" si="34"/>
        <v/>
      </c>
      <c r="DF19" s="860"/>
      <c r="DG19" s="350" t="str">
        <f t="shared" ref="DG19" si="73">$DG18</f>
        <v/>
      </c>
      <c r="DH19" s="523">
        <f>IF(AND($BJ19&gt;=参照データ!$C$130,$BJ19&lt;=参照データ!$C$128),1,IF(AND($BJ19&gt;=参照データ!$C$133,$BJ19&lt;=参照データ!$C$131),2,IF(AND($BJ19&gt;=参照データ!$C$139,$BJ19&lt;=参照データ!$C$137),3,IF(AND($BJ19&gt;0,$BJ19&lt;=参照データ!$C$140),4,""))))</f>
        <v>1</v>
      </c>
      <c r="DI19" s="523">
        <f t="shared" si="35"/>
        <v>7</v>
      </c>
      <c r="DJ19" s="523" t="str">
        <f t="shared" si="36"/>
        <v/>
      </c>
      <c r="DK19" s="524" t="str">
        <f>IF($AN19="","",IF(AND($AN19="○",$BK19="男子"),VLOOKUP($DI19,参照データ!$D$128:$J$145,3,FALSE),VLOOKUP($DH19,参照データ!$D$128:$J$145,3,FALSE)))</f>
        <v/>
      </c>
      <c r="DL19" s="525" t="str">
        <f t="shared" si="37"/>
        <v/>
      </c>
      <c r="DM19" s="524" t="str">
        <f>IF($AP19="","",IF(AND($AP19="○",$BK19="男子"),VLOOKUP($DI19,参照データ!$D$128:$J$145,4,FALSE),VLOOKUP($DH19,参照データ!$D$128:$J$145,4,FALSE)))</f>
        <v/>
      </c>
      <c r="DN19" s="525" t="str">
        <f t="shared" si="38"/>
        <v/>
      </c>
      <c r="DO19" s="524" t="str">
        <f>IF($AR19="","",IF(AND($AR19="○",$BK19="男子"),VLOOKUP($DI19,参照データ!$D$128:$J$145,5,FALSE),VLOOKUP($DH19,参照データ!$D$128:$J$145,5,FALSE)))</f>
        <v/>
      </c>
      <c r="DP19" s="525" t="str">
        <f t="shared" si="39"/>
        <v/>
      </c>
      <c r="DQ19" s="524" t="str">
        <f>IF($AT19="","",IF(AND($AT19="○",$BK19="男子"),VLOOKUP($DI19,参照データ!$D$128:$J$145,6,FALSE),VLOOKUP($DH19,参照データ!$D$128:$J$145,6,FALSE)))</f>
        <v/>
      </c>
      <c r="DR19" s="525" t="str">
        <f t="shared" si="40"/>
        <v/>
      </c>
      <c r="DS19" s="526" t="str">
        <f t="shared" si="41"/>
        <v/>
      </c>
      <c r="DT19" s="527" t="str">
        <f t="shared" si="42"/>
        <v/>
      </c>
      <c r="DU19" s="528" t="str">
        <f t="shared" si="43"/>
        <v/>
      </c>
      <c r="DV19" s="983"/>
      <c r="DW19" s="531" t="s">
        <v>93</v>
      </c>
      <c r="DX19" s="532" t="str">
        <f t="shared" si="8"/>
        <v/>
      </c>
      <c r="DY19" s="994"/>
      <c r="DZ19" s="692" t="str">
        <f>$DZ18</f>
        <v/>
      </c>
      <c r="EA19" s="526" t="str">
        <f t="shared" si="9"/>
        <v/>
      </c>
      <c r="EB19" s="527" t="str">
        <f t="shared" si="10"/>
        <v/>
      </c>
      <c r="EC19" s="528" t="str">
        <f t="shared" si="11"/>
        <v/>
      </c>
      <c r="ED19" s="983"/>
      <c r="EE19" s="531" t="s">
        <v>93</v>
      </c>
      <c r="EF19" s="531" t="str">
        <f t="shared" si="12"/>
        <v/>
      </c>
      <c r="EG19" s="532" t="str">
        <f>IF(SUM(EF18:EF19)&lt;24,"",IF(SUM(EF18:EF19)&gt;=36,3,2))</f>
        <v/>
      </c>
      <c r="EH19" s="994"/>
      <c r="EI19" s="527" t="str">
        <f>$EI18</f>
        <v/>
      </c>
      <c r="EJ19" s="555" t="str">
        <f t="shared" si="13"/>
        <v/>
      </c>
      <c r="EK19" s="556" t="str">
        <f t="shared" si="44"/>
        <v/>
      </c>
      <c r="EL19" s="846"/>
      <c r="EM19" s="561" t="s">
        <v>757</v>
      </c>
      <c r="EN19" s="562" t="str">
        <f t="shared" si="45"/>
        <v/>
      </c>
      <c r="EO19" s="849"/>
      <c r="EP19" s="555" t="str">
        <f t="shared" si="14"/>
        <v/>
      </c>
      <c r="EQ19" s="556" t="str">
        <f t="shared" si="46"/>
        <v/>
      </c>
      <c r="ER19" s="846"/>
      <c r="ES19" s="561" t="s">
        <v>757</v>
      </c>
      <c r="ET19" s="562" t="str">
        <f t="shared" si="47"/>
        <v/>
      </c>
      <c r="EU19" s="849"/>
      <c r="EV19" s="38" t="str">
        <f t="shared" si="15"/>
        <v/>
      </c>
      <c r="EW19" s="552" t="str">
        <f t="shared" si="48"/>
        <v/>
      </c>
      <c r="EX19" s="833"/>
      <c r="EY19" s="559" t="s">
        <v>757</v>
      </c>
      <c r="EZ19" s="560" t="str">
        <f t="shared" si="49"/>
        <v/>
      </c>
      <c r="FA19" s="835"/>
      <c r="FB19" t="str">
        <f>IF($FC19="","",DATEDIF($BJ19,参照データ!$D$19,"Y"))</f>
        <v/>
      </c>
      <c r="FC19" s="298" t="str">
        <f>IFERROR(IF($BK19="男子",VLOOKUP($FJ19,参照データ!$D$92:$E$118,2,0),$FJ19),0)</f>
        <v/>
      </c>
      <c r="FD19" s="92" t="str">
        <f>IF($Y19="選手権",(VLOOKUP($FC19,参照データ!$D$92:$K$121,3,0)),"")</f>
        <v/>
      </c>
      <c r="FE19" s="93" t="str">
        <f t="shared" si="16"/>
        <v/>
      </c>
      <c r="FF19" s="92" t="str">
        <f>IF($AA19="選手権",(VLOOKUP($FC19,参照データ!$D$92:$K$121,4,0)),"")</f>
        <v/>
      </c>
      <c r="FG19" s="93" t="str">
        <f t="shared" si="17"/>
        <v/>
      </c>
      <c r="FH19" s="92" t="str">
        <f>IF($AC19="選手権",(VLOOKUP($FC19,参照データ!$D$92:$K$121,5,0)),"")</f>
        <v/>
      </c>
      <c r="FI19" s="93" t="str">
        <f t="shared" si="18"/>
        <v/>
      </c>
      <c r="FJ19" s="61" t="str">
        <f>IF(AND($BJ19&gt;=参照データ!$C$94,$BJ19&lt;=参照データ!$C$92),1,IF(AND($BJ19&gt;=参照データ!$C$97,$BJ19&lt;=参照データ!$C$95),2,IF(AND($BJ19&gt;=参照データ!$C$103,$BJ19&lt;=参照データ!$C$101),3,IF(AND($BJ19&gt;=参照データ!$C$109,$BJ19&lt;=参照データ!$C$107),4,IF(AND($BJ19&gt;=参照データ!$C$115,$BJ19&lt;=参照データ!$C$113),5,IF(AND($BJ19&gt;0,$BJ19&lt;=参照データ!$C$116),6,""))))))</f>
        <v/>
      </c>
      <c r="FK19" s="92" t="str">
        <f>IF($AE19="選手権",(VLOOKUP($FJ19,参照データ!$D$92:$K$121,6,0)),"")</f>
        <v/>
      </c>
      <c r="FL19" s="93" t="str">
        <f t="shared" si="19"/>
        <v/>
      </c>
      <c r="FM19" s="92" t="str">
        <f>IF($AG19="選手権",(VLOOKUP($FJ19,参照データ!$D$92:$K$121,7,0)),"")</f>
        <v/>
      </c>
      <c r="FN19" s="93" t="str">
        <f t="shared" si="50"/>
        <v/>
      </c>
      <c r="FO19" s="38" t="str">
        <f t="shared" si="51"/>
        <v/>
      </c>
      <c r="FP19" s="37" t="str">
        <f t="shared" si="52"/>
        <v/>
      </c>
      <c r="FQ19" s="93" t="str">
        <f t="shared" si="53"/>
        <v/>
      </c>
      <c r="FR19" s="976"/>
      <c r="FS19" s="99" t="s">
        <v>93</v>
      </c>
      <c r="FT19" s="100" t="str">
        <f t="shared" si="20"/>
        <v/>
      </c>
      <c r="FU19" s="978"/>
      <c r="FV19" s="356" t="str">
        <f t="shared" ref="FV19" si="74">$FV18</f>
        <v/>
      </c>
      <c r="FY19" s="40">
        <f>(COUNTIF($J19:$O19,"&lt;&gt;"))*参照データ!$E$3</f>
        <v>0</v>
      </c>
      <c r="FZ19" s="267" t="str">
        <f>IF($P19="○",参照データ!$E$4,"")</f>
        <v/>
      </c>
      <c r="GA19" s="19">
        <f>(SUM(COUNTIF($Q19:$U19,{"入門","初級"}))*参照データ!$E$9)+(SUM(COUNTIF($Q19:$U19,{"中級","上級"})*参照データ!$E$10))</f>
        <v>0</v>
      </c>
      <c r="GB19" s="19">
        <f>IFERROR(VLOOKUP($V19,参照データ!$D$9:$J$11,7,0),0)</f>
        <v>0</v>
      </c>
      <c r="GC19" s="19">
        <f>((COUNTIF($Y19:$AG19,"オープン"))*参照データ!$E$12)</f>
        <v>0</v>
      </c>
      <c r="GD19" s="19" t="str">
        <f>(IF($AI19="オープン",参照データ!$J$12,""))</f>
        <v/>
      </c>
      <c r="GE19" s="19">
        <f>(COUNTIF($AN19:$AU19,"○")*参照データ!$E$22)</f>
        <v>0</v>
      </c>
      <c r="GF19" s="19">
        <f>(COUNTIF($AV19:$BA19,"○")*参照データ!$I$22)</f>
        <v>0</v>
      </c>
      <c r="GI19" s="19">
        <f>((COUNTIF($Y19:$AG19,"選手権"))*参照データ!$E$13)</f>
        <v>0</v>
      </c>
      <c r="GJ19" s="19" t="str">
        <f>(IF($AI19="選手権",参照データ!$J$13,""))</f>
        <v/>
      </c>
      <c r="GK19" s="106">
        <f t="array" ref="GK19">SUM(IF(ISERROR(FY19:GJ19),0,(FY19:GJ19)))</f>
        <v>0</v>
      </c>
      <c r="GL19" s="19"/>
      <c r="GM19" s="19">
        <f t="shared" si="54"/>
        <v>0</v>
      </c>
      <c r="GN19" s="19">
        <f t="shared" si="55"/>
        <v>0</v>
      </c>
      <c r="GO19" s="19">
        <f t="shared" si="56"/>
        <v>0</v>
      </c>
      <c r="GP19" s="19">
        <f t="shared" si="21"/>
        <v>0</v>
      </c>
      <c r="GQ19" s="19">
        <f t="shared" si="57"/>
        <v>0</v>
      </c>
      <c r="GR19" s="19">
        <f t="shared" si="58"/>
        <v>0</v>
      </c>
      <c r="GS19" s="19">
        <f t="shared" si="59"/>
        <v>0</v>
      </c>
      <c r="GT19" s="19">
        <f t="shared" si="60"/>
        <v>0</v>
      </c>
      <c r="GU19" s="19">
        <f t="shared" si="61"/>
        <v>0</v>
      </c>
      <c r="GV19" t="str">
        <f t="shared" si="22"/>
        <v/>
      </c>
      <c r="GW19" t="str">
        <f t="shared" si="62"/>
        <v/>
      </c>
      <c r="GX19" t="str">
        <f t="shared" si="23"/>
        <v/>
      </c>
      <c r="GY19" t="str">
        <f t="shared" si="63"/>
        <v/>
      </c>
      <c r="GZ19" t="str">
        <f t="shared" si="24"/>
        <v/>
      </c>
    </row>
    <row r="20" spans="1:208" ht="18.75" customHeight="1" x14ac:dyDescent="0.15">
      <c r="A20">
        <v>9</v>
      </c>
      <c r="B20" s="15" t="str">
        <f>IF(D20="","",IF(D20="重複","",COUNTIF(B$12:$B19,"&gt;0")+1))</f>
        <v/>
      </c>
      <c r="C20" s="713"/>
      <c r="D20" s="185"/>
      <c r="E20" s="185"/>
      <c r="F20" s="36"/>
      <c r="G20" s="47"/>
      <c r="H20" s="402">
        <f t="shared" si="2"/>
        <v>0</v>
      </c>
      <c r="I20" s="201" t="str">
        <f>IF($BJ20=0,"",DATEDIF($BJ20,参照データ!$D$16,"Y"))</f>
        <v/>
      </c>
      <c r="J20" s="41"/>
      <c r="K20" s="41"/>
      <c r="L20" s="41"/>
      <c r="M20" s="41"/>
      <c r="N20" s="41"/>
      <c r="O20" s="49"/>
      <c r="P20" s="395"/>
      <c r="Q20" s="51"/>
      <c r="R20" s="289"/>
      <c r="S20" s="289"/>
      <c r="T20" s="289"/>
      <c r="U20" s="290"/>
      <c r="V20" s="292"/>
      <c r="W20" s="295"/>
      <c r="Y20" s="446"/>
      <c r="Z20" s="396" t="str">
        <f>IF($Y20="オープン",VLOOKUP($CO20,参照データ!$D$69:$M$86,9,0),IF($Y20="選手権",VLOOKUP($FC20,参照データ!$D$92:$O$121,10,0),""))</f>
        <v/>
      </c>
      <c r="AA20" s="446"/>
      <c r="AB20" s="666" t="str">
        <f>IF($AA20="オープン",VLOOKUP($CO20,参照データ!$D$69:$M$86,10,0),IF($AA20="選手権",VLOOKUP($FC20,参照データ!$D$92:$O$121,11,0),""))</f>
        <v/>
      </c>
      <c r="AC20" s="669"/>
      <c r="AD20" s="396" t="str">
        <f>IF($AC20="オープン",VLOOKUP($CO20,参照データ!$D$69:$M$86,10,0),IF($AC20="選手権",VLOOKUP($FC20,参照データ!$D$92:$O$121,11,0),""))</f>
        <v/>
      </c>
      <c r="AE20" s="446"/>
      <c r="AF20" s="396" t="str">
        <f>IF($AE20="オープン",VLOOKUP($CO20,参照データ!$D$69:$M$86,10,0),IF($AE20="選手権",VLOOKUP($FJ20,参照データ!$D$92:$O$121,12,0),""))</f>
        <v/>
      </c>
      <c r="AG20" s="446"/>
      <c r="AH20" s="396" t="str">
        <f>IF($AG20="オープン",VLOOKUP($CO20,参照データ!$D$69:$M$86,10,0),IF($AG20="選手権",VLOOKUP($FJ20,参照データ!$D$92:$O$121,12,0),""))</f>
        <v/>
      </c>
      <c r="AI20" s="446"/>
      <c r="AJ20" s="449"/>
      <c r="AK20" s="396" t="str">
        <f t="shared" si="3"/>
        <v/>
      </c>
      <c r="AL20" s="587"/>
      <c r="AM20" s="588" t="str">
        <f>IF($BJ20=0,"",DATEDIF($BJ20,参照データ!$D$17,"Y"))</f>
        <v/>
      </c>
      <c r="AN20" s="450"/>
      <c r="AO20" s="591" t="str">
        <f>IF(AN20="","",IF($BK20="男子",VLOOKUP($DI20,参照データ!$D$128:$M$145,10,FALSE),VLOOKUP($DH20,参照データ!$D$128:$M$145,10,FALSE)))</f>
        <v/>
      </c>
      <c r="AP20" s="450"/>
      <c r="AQ20" s="591" t="str">
        <f>IF(AP20="","",IF($BK20="男子",VLOOKUP($DI20,参照データ!$D$128:$M$145,10,FALSE),VLOOKUP($DH20,参照データ!$D$128:$M$145,10,FALSE)))</f>
        <v/>
      </c>
      <c r="AR20" s="450"/>
      <c r="AS20" s="591" t="str">
        <f>IF(AR20="","",IF($BK20="男子",VLOOKUP($DI20,参照データ!$D$128:$M$145,10,FALSE),VLOOKUP($DH20,参照データ!$D$128:$M$145,10,FALSE)))</f>
        <v/>
      </c>
      <c r="AT20" s="450"/>
      <c r="AU20" s="591" t="str">
        <f>IF(AT20="","",IF($BK20="男子",VLOOKUP($DI20,参照データ!$D$128:$M$145,10,FALSE),VLOOKUP($DH20,参照データ!$D$128:$M$145,10,FALSE)))</f>
        <v/>
      </c>
      <c r="AV20" s="448"/>
      <c r="AW20" s="448"/>
      <c r="AX20" s="585" t="str">
        <f t="shared" si="25"/>
        <v/>
      </c>
      <c r="AY20" s="448"/>
      <c r="AZ20" s="448"/>
      <c r="BA20" s="585" t="str">
        <f t="shared" si="4"/>
        <v/>
      </c>
      <c r="BB20" s="677"/>
      <c r="BC20" s="724"/>
      <c r="BD20" s="640"/>
      <c r="BE20" s="623"/>
      <c r="BF20" s="365"/>
      <c r="BG20" s="366"/>
      <c r="BI20" s="476" t="s">
        <v>157</v>
      </c>
      <c r="BJ20">
        <f t="shared" ref="BJ20:BJ71" si="75">IF($D20="重複",VALUE($G19),VALUE($G20))</f>
        <v>0</v>
      </c>
      <c r="BK20" t="str">
        <f t="shared" si="65"/>
        <v/>
      </c>
      <c r="BL20" s="146"/>
      <c r="BO20" s="61" t="str">
        <f>IF($BJ20=0,"",IF(AND($I20&gt;=6,$I20&lt;=19),VLOOKUP($I20,参照データ!$B$28:$C$41,2,0),IF($I20&lt;6,6,19)))</f>
        <v/>
      </c>
      <c r="BP20" s="178" t="str">
        <f>IF($J20=$BI$12,VLOOKUP($BO20,参照データ!$C$28:$I$41,2,0),"")</f>
        <v/>
      </c>
      <c r="BQ20" s="169" t="str">
        <f>IF($K20=$BI$12,VLOOKUP($BO20,参照データ!$C$28:$I$41,3,0),"")</f>
        <v/>
      </c>
      <c r="BR20" s="169" t="str">
        <f>IF($L20=$BI$12,VLOOKUP($BO20,参照データ!$C$28:$I$41,4,0),"")</f>
        <v/>
      </c>
      <c r="BS20" s="169" t="str">
        <f>IF($M20=$BI$12,VLOOKUP($BO20,参照データ!$C$28:$I$41,5,0),"")</f>
        <v/>
      </c>
      <c r="BT20" s="169" t="str">
        <f>IF($N20=$BI$12,VLOOKUP($BO20,参照データ!$C$28:$I$41,6,0),"")</f>
        <v/>
      </c>
      <c r="BU20" s="179" t="str">
        <f>IF($O20=$BI$12,VLOOKUP($BO20,参照データ!$C$28:$I$41,7,0),"")</f>
        <v/>
      </c>
      <c r="BV20" s="178" t="str">
        <f>IF($J20=$BI$13,VLOOKUP($BO20,参照データ!$C$28:$I$41,2,0),"")</f>
        <v/>
      </c>
      <c r="BW20" s="169" t="str">
        <f>IF($K20=$BI$13,VLOOKUP($BO20,参照データ!$C$28:$I$41,3,0),"")</f>
        <v/>
      </c>
      <c r="BX20" s="169" t="str">
        <f>IF($L20=$BI$13,VLOOKUP($BO20,参照データ!$C$28:$I$41,4,0),"")</f>
        <v/>
      </c>
      <c r="BY20" s="169" t="str">
        <f>IF($M20=$BI$13,VLOOKUP($BO20,参照データ!$C$28:$I$41,5,0),"")</f>
        <v/>
      </c>
      <c r="BZ20" s="169" t="str">
        <f>IF($N20=$BI$13,VLOOKUP($BO20,参照データ!$C$28:$I$41,6,0),"")</f>
        <v/>
      </c>
      <c r="CA20" s="179" t="str">
        <f>IF($O20=$BI$13,VLOOKUP($BO20,参照データ!$C$28:$I$41,7,0),"")</f>
        <v/>
      </c>
      <c r="CB20" s="271" t="str">
        <f t="shared" si="26"/>
        <v/>
      </c>
      <c r="CC20" s="177" t="str">
        <f>IF($Q20="入門",VLOOKUP($BO20,参照データ!$C$47:$U$60,2,0),IF($Q20="初級",VLOOKUP($BO20,参照データ!$C$47:$U$60,3,0),IF($Q20="中級",VLOOKUP($BO20,参照データ!$C$47:$U$60,4,0),IF($Q20="上級",VLOOKUP($BO20,参照データ!$C$47:$U$60,5,0),""))))</f>
        <v/>
      </c>
      <c r="CD20" s="177" t="str">
        <f>IF($R20="初級",VLOOKUP($BO20,参照データ!$C$47:$U$60,6,0),IF($R20="中級",VLOOKUP($BO20,参照データ!$C$47:$U$60,7,0),IF($R20="上級",VLOOKUP($BO20,参照データ!$C$47:$U$60,8,0),"")))</f>
        <v/>
      </c>
      <c r="CE20" s="177" t="str">
        <f>IF($S20="初級",VLOOKUP($BO20,参照データ!$C$47:$U$60,9,0),IF($S20="上級",VLOOKUP($BO20,参照データ!$C$47:$U$60,10,0),""))</f>
        <v/>
      </c>
      <c r="CF20" s="177" t="str">
        <f>IF($T20="初級",VLOOKUP($BO20,参照データ!$C$47:$U$60,11,0),IF($T20="中級",VLOOKUP($BO20,参照データ!$C$47:$U$60,12,0),IF($T20="上級",VLOOKUP($BO20,参照データ!$C$47:$U$60,13,0),"")))</f>
        <v/>
      </c>
      <c r="CG20" s="177" t="str">
        <f>IF($U20="初級",VLOOKUP($BO20,参照データ!$C$47:$U$60,14,0),IF($U20="中級",VLOOKUP($BO20,参照データ!$C$47:$U$60,15,0),IF($U20="上級",VLOOKUP($BO20,参照データ!$C$47:$U$60,16,0),"")))</f>
        <v/>
      </c>
      <c r="CH20" s="55" t="str">
        <f t="shared" si="5"/>
        <v/>
      </c>
      <c r="CI20" s="55" t="str">
        <f>IF($V20="初級",VLOOKUP($BO20,参照データ!$C$47:$U$60,17,0),IF($V20="中級",VLOOKUP($BO20,参照データ!$C$47:$U$60,18,0),IF($V20="上級",VLOOKUP($BO20,参照データ!$C$47:$U$60,19,0),"")))</f>
        <v/>
      </c>
      <c r="CJ20" s="867">
        <v>5</v>
      </c>
      <c r="CK20" s="74" t="s">
        <v>244</v>
      </c>
      <c r="CL20" s="151" t="str">
        <f t="shared" si="6"/>
        <v/>
      </c>
      <c r="CM20" s="871" t="str">
        <f t="shared" ref="CM20" si="76">IF(OR($CL20="",$CL21=""),"",IF($CL20&gt;$CL21,$CL20,$CL21))</f>
        <v/>
      </c>
      <c r="CO20" s="61">
        <f>IF(AND($BJ20&gt;=参照データ!$C$71,$BJ20&lt;=参照データ!$C$69),1,IF(AND($BJ20&gt;=参照データ!$C$74,$BJ20&lt;=参照データ!$C$72),2,IF(AND($BJ20&gt;=参照データ!$C$77,$BJ20&lt;=参照データ!$C$75),3,IF(AND($BJ20&gt;=参照データ!$C$80,$BJ20&lt;=参照データ!$C$78),4,IF(AND($BJ20&gt;=参照データ!$C$83,$BJ20&lt;=参照データ!$C$81),5,IF(AND($BJ20&gt;0,$BJ20&lt;=参照データ!$C$84),6,""))))))</f>
        <v>5</v>
      </c>
      <c r="CP20" s="160" t="str">
        <f>IF($Y20="オープン",(VLOOKUP($CO20,参照データ!$D$69:$J$86,2,0)),"")</f>
        <v/>
      </c>
      <c r="CQ20" s="79" t="str">
        <f t="shared" si="27"/>
        <v/>
      </c>
      <c r="CR20" s="78" t="str">
        <f>IF($AA20="オープン",(VLOOKUP($CO20,参照データ!$D$69:$J$86,3,0)),"")</f>
        <v/>
      </c>
      <c r="CS20" s="79" t="str">
        <f t="shared" si="28"/>
        <v/>
      </c>
      <c r="CT20" s="78" t="str">
        <f>IF($AC20="オープン",(VLOOKUP($CO20,参照データ!$D$69:$J$86,4,0)),"")</f>
        <v/>
      </c>
      <c r="CU20" s="79" t="str">
        <f t="shared" si="29"/>
        <v/>
      </c>
      <c r="CV20" s="78" t="str">
        <f>IF($AE20="オープン",(VLOOKUP($CO20,参照データ!$D$69:$J$86,5,0)),"")</f>
        <v/>
      </c>
      <c r="CW20" s="79" t="str">
        <f t="shared" si="7"/>
        <v/>
      </c>
      <c r="CX20" s="78" t="str">
        <f>IF($AG20="オープン",(VLOOKUP($CO20,参照データ!$D$69:$J$86,6,0)),"")</f>
        <v/>
      </c>
      <c r="CY20" s="79" t="str">
        <f t="shared" si="30"/>
        <v/>
      </c>
      <c r="CZ20" s="38" t="str">
        <f t="shared" si="31"/>
        <v/>
      </c>
      <c r="DA20" s="37" t="str">
        <f t="shared" si="32"/>
        <v/>
      </c>
      <c r="DB20" s="79" t="str">
        <f t="shared" si="33"/>
        <v/>
      </c>
      <c r="DC20" s="857">
        <v>5</v>
      </c>
      <c r="DD20" s="87" t="s">
        <v>94</v>
      </c>
      <c r="DE20" s="88" t="str">
        <f t="shared" si="34"/>
        <v/>
      </c>
      <c r="DF20" s="859" t="e">
        <f>IF($DE20&gt;$DE21,VLOOKUP($DE20,参照データ!$D$69:$J$86,7,0),VLOOKUP($DE21,参照データ!$D$69:$J$86,7,0))</f>
        <v>#N/A</v>
      </c>
      <c r="DG20" s="350" t="str">
        <f>IFERROR(VLOOKUP($DF20,参照データ!$J$69:$M$86,4,0),"")</f>
        <v/>
      </c>
      <c r="DH20" s="523">
        <f>IF(AND($BJ20&gt;=参照データ!$C$130,$BJ20&lt;=参照データ!$C$128),1,IF(AND($BJ20&gt;=参照データ!$C$133,$BJ20&lt;=参照データ!$C$131),2,IF(AND($BJ20&gt;=参照データ!$C$139,$BJ20&lt;=参照データ!$C$137),3,IF(AND($BJ20&gt;0,$BJ20&lt;=参照データ!$C$140),4,""))))</f>
        <v>1</v>
      </c>
      <c r="DI20" s="523">
        <f t="shared" si="35"/>
        <v>7</v>
      </c>
      <c r="DJ20" s="523" t="str">
        <f t="shared" si="36"/>
        <v/>
      </c>
      <c r="DK20" s="524" t="str">
        <f>IF($AN20="","",IF(AND($AN20="○",$BK20="男子"),VLOOKUP($DI20,参照データ!$D$128:$J$145,3,FALSE),VLOOKUP($DH20,参照データ!$D$128:$J$145,3,FALSE)))</f>
        <v/>
      </c>
      <c r="DL20" s="525" t="str">
        <f t="shared" si="37"/>
        <v/>
      </c>
      <c r="DM20" s="524" t="str">
        <f>IF($AP20="","",IF(AND($AP20="○",$BK20="男子"),VLOOKUP($DI20,参照データ!$D$128:$J$145,4,FALSE),VLOOKUP($DH20,参照データ!$D$128:$J$145,4,FALSE)))</f>
        <v/>
      </c>
      <c r="DN20" s="525" t="str">
        <f t="shared" si="38"/>
        <v/>
      </c>
      <c r="DO20" s="524" t="str">
        <f>IF($AR20="","",IF(AND($AR20="○",$BK20="男子"),VLOOKUP($DI20,参照データ!$D$128:$J$145,5,FALSE),VLOOKUP($DH20,参照データ!$D$128:$J$145,5,FALSE)))</f>
        <v/>
      </c>
      <c r="DP20" s="525" t="str">
        <f t="shared" si="39"/>
        <v/>
      </c>
      <c r="DQ20" s="524" t="str">
        <f>IF($AT20="","",IF(AND($AT20="○",$BK20="男子"),VLOOKUP($DI20,参照データ!$D$128:$J$145,6,FALSE),VLOOKUP($DH20,参照データ!$D$128:$J$145,6,FALSE)))</f>
        <v/>
      </c>
      <c r="DR20" s="525" t="str">
        <f t="shared" si="40"/>
        <v/>
      </c>
      <c r="DS20" s="526" t="str">
        <f t="shared" si="41"/>
        <v/>
      </c>
      <c r="DT20" s="527" t="str">
        <f t="shared" si="42"/>
        <v/>
      </c>
      <c r="DU20" s="528" t="str">
        <f t="shared" si="43"/>
        <v/>
      </c>
      <c r="DV20" s="982">
        <v>5</v>
      </c>
      <c r="DW20" s="533" t="s">
        <v>94</v>
      </c>
      <c r="DX20" s="534" t="str">
        <f t="shared" si="8"/>
        <v/>
      </c>
      <c r="DY20" s="877" t="e">
        <f>IF($DX20&gt;$DX21,VLOOKUP($DX20,参照データ!$D$128:$K$145,7,0),VLOOKUP($DX21,参照データ!$D$128:$K$145,7,0))</f>
        <v>#N/A</v>
      </c>
      <c r="DZ20" s="692" t="str">
        <f>IFERROR(VLOOKUP($DY20,参照データ!$J$128:$N$145,5,0),"")</f>
        <v/>
      </c>
      <c r="EA20" s="526" t="str">
        <f t="shared" si="9"/>
        <v/>
      </c>
      <c r="EB20" s="527" t="str">
        <f t="shared" si="10"/>
        <v/>
      </c>
      <c r="EC20" s="528" t="str">
        <f t="shared" si="11"/>
        <v/>
      </c>
      <c r="ED20" s="982">
        <v>5</v>
      </c>
      <c r="EE20" s="533" t="s">
        <v>94</v>
      </c>
      <c r="EF20" s="533" t="str">
        <f t="shared" si="12"/>
        <v/>
      </c>
      <c r="EG20" s="534" t="str">
        <f>IF(SUM(EF20:EF21)&lt;24,"",IF(SUM(EF20:EF21)&gt;=36,3,2))</f>
        <v/>
      </c>
      <c r="EH20" s="877" t="e">
        <f>IF($EG20&gt;$EG21,VLOOKUP($EG20,参照データ!$D$128:$K$145,8,0),VLOOKUP($EG21,参照データ!$D$128:$K$145,8,0))</f>
        <v>#N/A</v>
      </c>
      <c r="EI20" s="527" t="str">
        <f>IFERROR(VLOOKUP($EH20,参照データ!$K$128:$N$145,4,0),"")</f>
        <v/>
      </c>
      <c r="EJ20" s="555" t="str">
        <f t="shared" si="13"/>
        <v/>
      </c>
      <c r="EK20" s="556" t="str">
        <f t="shared" si="44"/>
        <v/>
      </c>
      <c r="EL20" s="846"/>
      <c r="EM20" s="561" t="s">
        <v>759</v>
      </c>
      <c r="EN20" s="562" t="str">
        <f t="shared" si="45"/>
        <v/>
      </c>
      <c r="EO20" s="849"/>
      <c r="EP20" s="555" t="str">
        <f t="shared" si="14"/>
        <v/>
      </c>
      <c r="EQ20" s="556" t="str">
        <f t="shared" si="46"/>
        <v/>
      </c>
      <c r="ER20" s="846"/>
      <c r="ES20" s="561" t="s">
        <v>759</v>
      </c>
      <c r="ET20" s="562" t="str">
        <f t="shared" si="47"/>
        <v/>
      </c>
      <c r="EU20" s="849"/>
      <c r="EV20" s="38" t="str">
        <f t="shared" si="15"/>
        <v/>
      </c>
      <c r="EW20" s="552" t="str">
        <f t="shared" si="48"/>
        <v/>
      </c>
      <c r="EX20" s="833"/>
      <c r="EY20" s="559" t="s">
        <v>758</v>
      </c>
      <c r="EZ20" s="560" t="str">
        <f t="shared" si="49"/>
        <v/>
      </c>
      <c r="FA20" s="835"/>
      <c r="FB20" t="str">
        <f>IF($FC20="","",DATEDIF($BJ20,参照データ!$D$19,"Y"))</f>
        <v/>
      </c>
      <c r="FC20" s="298" t="str">
        <f>IFERROR(IF($BK20="男子",VLOOKUP($FJ20,参照データ!$D$92:$E$118,2,0),$FJ20),0)</f>
        <v/>
      </c>
      <c r="FD20" s="92" t="str">
        <f>IF($Y20="選手権",(VLOOKUP($FC20,参照データ!$D$92:$K$121,3,0)),"")</f>
        <v/>
      </c>
      <c r="FE20" s="93" t="str">
        <f t="shared" si="16"/>
        <v/>
      </c>
      <c r="FF20" s="92" t="str">
        <f>IF($AA20="選手権",(VLOOKUP($FC20,参照データ!$D$92:$K$121,4,0)),"")</f>
        <v/>
      </c>
      <c r="FG20" s="93" t="str">
        <f t="shared" si="17"/>
        <v/>
      </c>
      <c r="FH20" s="92" t="str">
        <f>IF($AC20="選手権",(VLOOKUP($FC20,参照データ!$D$92:$K$121,5,0)),"")</f>
        <v/>
      </c>
      <c r="FI20" s="93" t="str">
        <f t="shared" si="18"/>
        <v/>
      </c>
      <c r="FJ20" s="61" t="str">
        <f>IF(AND($BJ20&gt;=参照データ!$C$94,$BJ20&lt;=参照データ!$C$92),1,IF(AND($BJ20&gt;=参照データ!$C$97,$BJ20&lt;=参照データ!$C$95),2,IF(AND($BJ20&gt;=参照データ!$C$103,$BJ20&lt;=参照データ!$C$101),3,IF(AND($BJ20&gt;=参照データ!$C$109,$BJ20&lt;=参照データ!$C$107),4,IF(AND($BJ20&gt;=参照データ!$C$115,$BJ20&lt;=参照データ!$C$113),5,IF(AND($BJ20&gt;0,$BJ20&lt;=参照データ!$C$116),6,""))))))</f>
        <v/>
      </c>
      <c r="FK20" s="92" t="str">
        <f>IF($AE20="選手権",(VLOOKUP($FJ20,参照データ!$D$92:$K$121,6,0)),"")</f>
        <v/>
      </c>
      <c r="FL20" s="93" t="str">
        <f t="shared" si="19"/>
        <v/>
      </c>
      <c r="FM20" s="92" t="str">
        <f>IF($AG20="選手権",(VLOOKUP($FJ20,参照データ!$D$92:$K$121,7,0)),"")</f>
        <v/>
      </c>
      <c r="FN20" s="93" t="str">
        <f t="shared" si="50"/>
        <v/>
      </c>
      <c r="FO20" s="38" t="str">
        <f t="shared" si="51"/>
        <v/>
      </c>
      <c r="FP20" s="37" t="str">
        <f t="shared" si="52"/>
        <v/>
      </c>
      <c r="FQ20" s="93" t="str">
        <f t="shared" si="53"/>
        <v/>
      </c>
      <c r="FR20" s="979">
        <v>5</v>
      </c>
      <c r="FS20" s="101" t="s">
        <v>94</v>
      </c>
      <c r="FT20" s="102" t="str">
        <f t="shared" si="20"/>
        <v/>
      </c>
      <c r="FU20" s="980" t="e">
        <f>IF($FT20&gt;$FT21,VLOOKUP($FT20,参照データ!$D$92:$K$121,8,0),VLOOKUP($FT21,参照データ!$D$92:$K$121,8,0))</f>
        <v>#N/A</v>
      </c>
      <c r="FV20" s="356" t="str">
        <f>IFERROR(VLOOKUP($FU20,参照データ!$K$92:$O$121,5,0),"")</f>
        <v/>
      </c>
      <c r="FY20" s="40">
        <f>(COUNTIF($J20:$O20,"&lt;&gt;"))*参照データ!$E$3</f>
        <v>0</v>
      </c>
      <c r="FZ20" s="267" t="str">
        <f>IF($P20="○",参照データ!$E$4,"")</f>
        <v/>
      </c>
      <c r="GA20" s="19">
        <f>(SUM(COUNTIF($Q20:$U20,{"入門","初級"}))*参照データ!$E$9)+(SUM(COUNTIF($Q20:$U20,{"中級","上級"})*参照データ!$E$10))</f>
        <v>0</v>
      </c>
      <c r="GB20" s="19">
        <f>IFERROR(VLOOKUP($V20,参照データ!$D$9:$J$11,7,0),0)</f>
        <v>0</v>
      </c>
      <c r="GC20" s="19">
        <f>((COUNTIF($Y20:$AG20,"オープン"))*参照データ!$E$12)</f>
        <v>0</v>
      </c>
      <c r="GD20" s="19" t="str">
        <f>(IF($AI20="オープン",参照データ!$J$12,""))</f>
        <v/>
      </c>
      <c r="GE20" s="19">
        <f>(COUNTIF($AN20:$AU20,"○")*参照データ!$E$22)</f>
        <v>0</v>
      </c>
      <c r="GF20" s="19">
        <f>(COUNTIF($AV20:$BA20,"○")*参照データ!$I$22)</f>
        <v>0</v>
      </c>
      <c r="GI20" s="19">
        <f>((COUNTIF($Y20:$AG20,"選手権"))*参照データ!$E$13)</f>
        <v>0</v>
      </c>
      <c r="GJ20" s="19" t="str">
        <f>(IF($AI20="選手権",参照データ!$J$13,""))</f>
        <v/>
      </c>
      <c r="GK20" s="106">
        <f t="array" ref="GK20">SUM(IF(ISERROR(FY20:GJ20),0,(FY20:GJ20)))</f>
        <v>0</v>
      </c>
      <c r="GL20" s="19"/>
      <c r="GM20" s="19">
        <f t="shared" si="54"/>
        <v>0</v>
      </c>
      <c r="GN20" s="19">
        <f t="shared" si="55"/>
        <v>0</v>
      </c>
      <c r="GO20" s="19">
        <f t="shared" si="56"/>
        <v>0</v>
      </c>
      <c r="GP20" s="19">
        <f t="shared" si="21"/>
        <v>0</v>
      </c>
      <c r="GQ20" s="19">
        <f t="shared" si="57"/>
        <v>0</v>
      </c>
      <c r="GR20" s="19">
        <f t="shared" si="58"/>
        <v>0</v>
      </c>
      <c r="GS20" s="19">
        <f t="shared" si="59"/>
        <v>0</v>
      </c>
      <c r="GT20" s="19">
        <f t="shared" si="60"/>
        <v>0</v>
      </c>
      <c r="GU20" s="19">
        <f t="shared" si="61"/>
        <v>0</v>
      </c>
      <c r="GV20" t="str">
        <f t="shared" si="22"/>
        <v/>
      </c>
      <c r="GW20" t="str">
        <f t="shared" si="62"/>
        <v/>
      </c>
      <c r="GX20" t="str">
        <f t="shared" si="23"/>
        <v/>
      </c>
      <c r="GY20" t="str">
        <f t="shared" si="63"/>
        <v/>
      </c>
      <c r="GZ20" t="str">
        <f t="shared" si="24"/>
        <v/>
      </c>
    </row>
    <row r="21" spans="1:208" ht="18.75" customHeight="1" thickBot="1" x14ac:dyDescent="0.2">
      <c r="A21">
        <v>10</v>
      </c>
      <c r="B21" s="15" t="str">
        <f>IF(D21="","",IF(D21="重複","",COUNTIF(B$12:$B20,"&gt;0")+1))</f>
        <v/>
      </c>
      <c r="C21" s="713"/>
      <c r="D21" s="185"/>
      <c r="E21" s="185"/>
      <c r="F21" s="36"/>
      <c r="G21" s="47"/>
      <c r="H21" s="402">
        <f t="shared" si="2"/>
        <v>0</v>
      </c>
      <c r="I21" s="201" t="str">
        <f>IF($BJ21=0,"",DATEDIF($BJ21,参照データ!$D$16,"Y"))</f>
        <v/>
      </c>
      <c r="J21" s="41"/>
      <c r="K21" s="41"/>
      <c r="L21" s="41"/>
      <c r="M21" s="41"/>
      <c r="N21" s="41"/>
      <c r="O21" s="49"/>
      <c r="P21" s="395"/>
      <c r="Q21" s="51"/>
      <c r="R21" s="289"/>
      <c r="S21" s="289"/>
      <c r="T21" s="289"/>
      <c r="U21" s="290"/>
      <c r="V21" s="292"/>
      <c r="W21" s="295"/>
      <c r="Y21" s="446"/>
      <c r="Z21" s="396" t="str">
        <f>IF($Y21="オープン",VLOOKUP($CO21,参照データ!$D$69:$M$86,9,0),IF($Y21="選手権",VLOOKUP($FC21,参照データ!$D$92:$O$121,10,0),""))</f>
        <v/>
      </c>
      <c r="AA21" s="446"/>
      <c r="AB21" s="666" t="str">
        <f>IF($AA21="オープン",VLOOKUP($CO21,参照データ!$D$69:$M$86,10,0),IF($AA21="選手権",VLOOKUP($FC21,参照データ!$D$92:$O$121,11,0),""))</f>
        <v/>
      </c>
      <c r="AC21" s="669"/>
      <c r="AD21" s="396" t="str">
        <f>IF($AC21="オープン",VLOOKUP($CO21,参照データ!$D$69:$M$86,10,0),IF($AC21="選手権",VLOOKUP($FC21,参照データ!$D$92:$O$121,11,0),""))</f>
        <v/>
      </c>
      <c r="AE21" s="446"/>
      <c r="AF21" s="396" t="str">
        <f>IF($AE21="オープン",VLOOKUP($CO21,参照データ!$D$69:$M$86,10,0),IF($AE21="選手権",VLOOKUP($FJ21,参照データ!$D$92:$O$121,12,0),""))</f>
        <v/>
      </c>
      <c r="AG21" s="446"/>
      <c r="AH21" s="396" t="str">
        <f>IF($AG21="オープン",VLOOKUP($CO21,参照データ!$D$69:$M$86,10,0),IF($AG21="選手権",VLOOKUP($FJ21,参照データ!$D$92:$O$121,12,0),""))</f>
        <v/>
      </c>
      <c r="AI21" s="446"/>
      <c r="AJ21" s="449"/>
      <c r="AK21" s="396" t="str">
        <f t="shared" si="3"/>
        <v/>
      </c>
      <c r="AL21" s="587"/>
      <c r="AM21" s="588" t="str">
        <f>IF($BJ21=0,"",DATEDIF($BJ21,参照データ!$D$17,"Y"))</f>
        <v/>
      </c>
      <c r="AN21" s="450"/>
      <c r="AO21" s="591" t="str">
        <f>IF(AN21="","",IF($BK21="男子",VLOOKUP($DI21,参照データ!$D$128:$M$145,10,FALSE),VLOOKUP($DH21,参照データ!$D$128:$M$145,10,FALSE)))</f>
        <v/>
      </c>
      <c r="AP21" s="450"/>
      <c r="AQ21" s="591" t="str">
        <f>IF(AP21="","",IF($BK21="男子",VLOOKUP($DI21,参照データ!$D$128:$M$145,10,FALSE),VLOOKUP($DH21,参照データ!$D$128:$M$145,10,FALSE)))</f>
        <v/>
      </c>
      <c r="AR21" s="450"/>
      <c r="AS21" s="591" t="str">
        <f>IF(AR21="","",IF($BK21="男子",VLOOKUP($DI21,参照データ!$D$128:$M$145,10,FALSE),VLOOKUP($DH21,参照データ!$D$128:$M$145,10,FALSE)))</f>
        <v/>
      </c>
      <c r="AT21" s="450"/>
      <c r="AU21" s="591" t="str">
        <f>IF(AT21="","",IF($BK21="男子",VLOOKUP($DI21,参照データ!$D$128:$M$145,10,FALSE),VLOOKUP($DH21,参照データ!$D$128:$M$145,10,FALSE)))</f>
        <v/>
      </c>
      <c r="AV21" s="448"/>
      <c r="AW21" s="448"/>
      <c r="AX21" s="585" t="str">
        <f t="shared" si="25"/>
        <v/>
      </c>
      <c r="AY21" s="448"/>
      <c r="AZ21" s="448"/>
      <c r="BA21" s="585" t="str">
        <f t="shared" si="4"/>
        <v/>
      </c>
      <c r="BB21" s="677"/>
      <c r="BC21" s="724"/>
      <c r="BD21" s="640"/>
      <c r="BE21" s="623"/>
      <c r="BF21" s="365"/>
      <c r="BG21" s="366"/>
      <c r="BI21" s="475" t="s">
        <v>159</v>
      </c>
      <c r="BJ21">
        <f t="shared" si="75"/>
        <v>0</v>
      </c>
      <c r="BK21" t="str">
        <f t="shared" si="65"/>
        <v/>
      </c>
      <c r="BL21" s="146"/>
      <c r="BO21" s="61" t="str">
        <f>IF($BJ21=0,"",IF(AND($I21&gt;=6,$I21&lt;=19),VLOOKUP($I21,参照データ!$B$28:$C$41,2,0),IF($I21&lt;6,6,19)))</f>
        <v/>
      </c>
      <c r="BP21" s="178" t="str">
        <f>IF($J21=$BI$12,VLOOKUP($BO21,参照データ!$C$28:$I$41,2,0),"")</f>
        <v/>
      </c>
      <c r="BQ21" s="169" t="str">
        <f>IF($K21=$BI$12,VLOOKUP($BO21,参照データ!$C$28:$I$41,3,0),"")</f>
        <v/>
      </c>
      <c r="BR21" s="169" t="str">
        <f>IF($L21=$BI$12,VLOOKUP($BO21,参照データ!$C$28:$I$41,4,0),"")</f>
        <v/>
      </c>
      <c r="BS21" s="169" t="str">
        <f>IF($M21=$BI$12,VLOOKUP($BO21,参照データ!$C$28:$I$41,5,0),"")</f>
        <v/>
      </c>
      <c r="BT21" s="169" t="str">
        <f>IF($N21=$BI$12,VLOOKUP($BO21,参照データ!$C$28:$I$41,6,0),"")</f>
        <v/>
      </c>
      <c r="BU21" s="179" t="str">
        <f>IF($O21=$BI$12,VLOOKUP($BO21,参照データ!$C$28:$I$41,7,0),"")</f>
        <v/>
      </c>
      <c r="BV21" s="178" t="str">
        <f>IF($J21=$BI$13,VLOOKUP($BO21,参照データ!$C$28:$I$41,2,0),"")</f>
        <v/>
      </c>
      <c r="BW21" s="169" t="str">
        <f>IF($K21=$BI$13,VLOOKUP($BO21,参照データ!$C$28:$I$41,3,0),"")</f>
        <v/>
      </c>
      <c r="BX21" s="169" t="str">
        <f>IF($L21=$BI$13,VLOOKUP($BO21,参照データ!$C$28:$I$41,4,0),"")</f>
        <v/>
      </c>
      <c r="BY21" s="169" t="str">
        <f>IF($M21=$BI$13,VLOOKUP($BO21,参照データ!$C$28:$I$41,5,0),"")</f>
        <v/>
      </c>
      <c r="BZ21" s="169" t="str">
        <f>IF($N21=$BI$13,VLOOKUP($BO21,参照データ!$C$28:$I$41,6,0),"")</f>
        <v/>
      </c>
      <c r="CA21" s="179" t="str">
        <f>IF($O21=$BI$13,VLOOKUP($BO21,参照データ!$C$28:$I$41,7,0),"")</f>
        <v/>
      </c>
      <c r="CB21" s="271" t="str">
        <f t="shared" si="26"/>
        <v/>
      </c>
      <c r="CC21" s="177" t="str">
        <f>IF($Q21="入門",VLOOKUP($BO21,参照データ!$C$47:$U$60,2,0),IF($Q21="初級",VLOOKUP($BO21,参照データ!$C$47:$U$60,3,0),IF($Q21="中級",VLOOKUP($BO21,参照データ!$C$47:$U$60,4,0),IF($Q21="上級",VLOOKUP($BO21,参照データ!$C$47:$U$60,5,0),""))))</f>
        <v/>
      </c>
      <c r="CD21" s="177" t="str">
        <f>IF($R21="初級",VLOOKUP($BO21,参照データ!$C$47:$U$60,6,0),IF($R21="中級",VLOOKUP($BO21,参照データ!$C$47:$U$60,7,0),IF($R21="上級",VLOOKUP($BO21,参照データ!$C$47:$U$60,8,0),"")))</f>
        <v/>
      </c>
      <c r="CE21" s="177" t="str">
        <f>IF($S21="初級",VLOOKUP($BO21,参照データ!$C$47:$U$60,9,0),IF($S21="上級",VLOOKUP($BO21,参照データ!$C$47:$U$60,10,0),""))</f>
        <v/>
      </c>
      <c r="CF21" s="177" t="str">
        <f>IF($T21="初級",VLOOKUP($BO21,参照データ!$C$47:$U$60,11,0),IF($T21="中級",VLOOKUP($BO21,参照データ!$C$47:$U$60,12,0),IF($T21="上級",VLOOKUP($BO21,参照データ!$C$47:$U$60,13,0),"")))</f>
        <v/>
      </c>
      <c r="CG21" s="177" t="str">
        <f>IF($U21="初級",VLOOKUP($BO21,参照データ!$C$47:$U$60,14,0),IF($U21="中級",VLOOKUP($BO21,参照データ!$C$47:$U$60,15,0),IF($U21="上級",VLOOKUP($BO21,参照データ!$C$47:$U$60,16,0),"")))</f>
        <v/>
      </c>
      <c r="CH21" s="55" t="str">
        <f t="shared" si="5"/>
        <v/>
      </c>
      <c r="CI21" s="55" t="str">
        <f>IF($V21="初級",VLOOKUP($BO21,参照データ!$C$47:$U$60,17,0),IF($V21="中級",VLOOKUP($BO21,参照データ!$C$47:$U$60,18,0),IF($V21="上級",VLOOKUP($BO21,参照データ!$C$47:$U$60,19,0),"")))</f>
        <v/>
      </c>
      <c r="CJ21" s="868"/>
      <c r="CK21" s="73" t="s">
        <v>245</v>
      </c>
      <c r="CL21" s="150" t="str">
        <f t="shared" si="6"/>
        <v/>
      </c>
      <c r="CM21" s="872"/>
      <c r="CO21" s="61">
        <f>IF(AND($BJ21&gt;=参照データ!$C$71,$BJ21&lt;=参照データ!$C$69),1,IF(AND($BJ21&gt;=参照データ!$C$74,$BJ21&lt;=参照データ!$C$72),2,IF(AND($BJ21&gt;=参照データ!$C$77,$BJ21&lt;=参照データ!$C$75),3,IF(AND($BJ21&gt;=参照データ!$C$80,$BJ21&lt;=参照データ!$C$78),4,IF(AND($BJ21&gt;=参照データ!$C$83,$BJ21&lt;=参照データ!$C$81),5,IF(AND($BJ21&gt;0,$BJ21&lt;=参照データ!$C$84),6,""))))))</f>
        <v>5</v>
      </c>
      <c r="CP21" s="160" t="str">
        <f>IF($Y21="オープン",(VLOOKUP($CO21,参照データ!$D$69:$J$86,2,0)),"")</f>
        <v/>
      </c>
      <c r="CQ21" s="79" t="str">
        <f t="shared" si="27"/>
        <v/>
      </c>
      <c r="CR21" s="78" t="str">
        <f>IF($AA21="オープン",(VLOOKUP($CO21,参照データ!$D$69:$J$86,3,0)),"")</f>
        <v/>
      </c>
      <c r="CS21" s="79" t="str">
        <f t="shared" si="28"/>
        <v/>
      </c>
      <c r="CT21" s="78" t="str">
        <f>IF($AC21="オープン",(VLOOKUP($CO21,参照データ!$D$69:$J$86,4,0)),"")</f>
        <v/>
      </c>
      <c r="CU21" s="79" t="str">
        <f t="shared" si="29"/>
        <v/>
      </c>
      <c r="CV21" s="78" t="str">
        <f>IF($AE21="オープン",(VLOOKUP($CO21,参照データ!$D$69:$J$86,5,0)),"")</f>
        <v/>
      </c>
      <c r="CW21" s="79" t="str">
        <f t="shared" si="7"/>
        <v/>
      </c>
      <c r="CX21" s="78" t="str">
        <f>IF($AG21="オープン",(VLOOKUP($CO21,参照データ!$D$69:$J$86,6,0)),"")</f>
        <v/>
      </c>
      <c r="CY21" s="79" t="str">
        <f t="shared" si="30"/>
        <v/>
      </c>
      <c r="CZ21" s="38" t="str">
        <f t="shared" si="31"/>
        <v/>
      </c>
      <c r="DA21" s="37" t="str">
        <f t="shared" si="32"/>
        <v/>
      </c>
      <c r="DB21" s="79" t="str">
        <f t="shared" si="33"/>
        <v/>
      </c>
      <c r="DC21" s="858"/>
      <c r="DD21" s="85" t="s">
        <v>95</v>
      </c>
      <c r="DE21" s="86" t="str">
        <f t="shared" si="34"/>
        <v/>
      </c>
      <c r="DF21" s="860"/>
      <c r="DG21" s="350" t="str">
        <f t="shared" ref="DG21" si="77">$DG20</f>
        <v/>
      </c>
      <c r="DH21" s="523">
        <f>IF(AND($BJ21&gt;=参照データ!$C$130,$BJ21&lt;=参照データ!$C$128),1,IF(AND($BJ21&gt;=参照データ!$C$133,$BJ21&lt;=参照データ!$C$131),2,IF(AND($BJ21&gt;=参照データ!$C$139,$BJ21&lt;=参照データ!$C$137),3,IF(AND($BJ21&gt;0,$BJ21&lt;=参照データ!$C$140),4,""))))</f>
        <v>1</v>
      </c>
      <c r="DI21" s="523">
        <f t="shared" si="35"/>
        <v>7</v>
      </c>
      <c r="DJ21" s="523" t="str">
        <f t="shared" si="36"/>
        <v/>
      </c>
      <c r="DK21" s="524" t="str">
        <f>IF($AN21="","",IF(AND($AN21="○",$BK21="男子"),VLOOKUP($DI21,参照データ!$D$128:$J$145,3,FALSE),VLOOKUP($DH21,参照データ!$D$128:$J$145,3,FALSE)))</f>
        <v/>
      </c>
      <c r="DL21" s="525" t="str">
        <f t="shared" si="37"/>
        <v/>
      </c>
      <c r="DM21" s="524" t="str">
        <f>IF($AP21="","",IF(AND($AP21="○",$BK21="男子"),VLOOKUP($DI21,参照データ!$D$128:$J$145,4,FALSE),VLOOKUP($DH21,参照データ!$D$128:$J$145,4,FALSE)))</f>
        <v/>
      </c>
      <c r="DN21" s="525" t="str">
        <f t="shared" si="38"/>
        <v/>
      </c>
      <c r="DO21" s="524" t="str">
        <f>IF($AR21="","",IF(AND($AR21="○",$BK21="男子"),VLOOKUP($DI21,参照データ!$D$128:$J$145,5,FALSE),VLOOKUP($DH21,参照データ!$D$128:$J$145,5,FALSE)))</f>
        <v/>
      </c>
      <c r="DP21" s="525" t="str">
        <f t="shared" si="39"/>
        <v/>
      </c>
      <c r="DQ21" s="524" t="str">
        <f>IF($AT21="","",IF(AND($AT21="○",$BK21="男子"),VLOOKUP($DI21,参照データ!$D$128:$J$145,6,FALSE),VLOOKUP($DH21,参照データ!$D$128:$J$145,6,FALSE)))</f>
        <v/>
      </c>
      <c r="DR21" s="525" t="str">
        <f t="shared" si="40"/>
        <v/>
      </c>
      <c r="DS21" s="526" t="str">
        <f t="shared" si="41"/>
        <v/>
      </c>
      <c r="DT21" s="527" t="str">
        <f t="shared" si="42"/>
        <v/>
      </c>
      <c r="DU21" s="528" t="str">
        <f t="shared" si="43"/>
        <v/>
      </c>
      <c r="DV21" s="983"/>
      <c r="DW21" s="531" t="s">
        <v>95</v>
      </c>
      <c r="DX21" s="532" t="str">
        <f t="shared" si="8"/>
        <v/>
      </c>
      <c r="DY21" s="994"/>
      <c r="DZ21" s="692" t="str">
        <f>$DZ20</f>
        <v/>
      </c>
      <c r="EA21" s="526" t="str">
        <f t="shared" si="9"/>
        <v/>
      </c>
      <c r="EB21" s="527" t="str">
        <f t="shared" si="10"/>
        <v/>
      </c>
      <c r="EC21" s="528" t="str">
        <f t="shared" si="11"/>
        <v/>
      </c>
      <c r="ED21" s="983"/>
      <c r="EE21" s="531" t="s">
        <v>95</v>
      </c>
      <c r="EF21" s="531" t="str">
        <f t="shared" si="12"/>
        <v/>
      </c>
      <c r="EG21" s="532" t="str">
        <f>IF(SUM(EF20:EF21)&lt;24,"",IF(SUM(EF20:EF21)&gt;=36,3,2))</f>
        <v/>
      </c>
      <c r="EH21" s="994"/>
      <c r="EI21" s="527" t="str">
        <f>$EI20</f>
        <v/>
      </c>
      <c r="EJ21" s="555" t="str">
        <f t="shared" si="13"/>
        <v/>
      </c>
      <c r="EK21" s="556" t="str">
        <f t="shared" si="44"/>
        <v/>
      </c>
      <c r="EL21" s="847"/>
      <c r="EM21" s="563" t="s">
        <v>761</v>
      </c>
      <c r="EN21" s="564" t="str">
        <f t="shared" si="45"/>
        <v/>
      </c>
      <c r="EO21" s="850"/>
      <c r="EP21" s="555" t="str">
        <f t="shared" si="14"/>
        <v/>
      </c>
      <c r="EQ21" s="556" t="str">
        <f t="shared" si="46"/>
        <v/>
      </c>
      <c r="ER21" s="847"/>
      <c r="ES21" s="563" t="s">
        <v>761</v>
      </c>
      <c r="ET21" s="564" t="str">
        <f t="shared" si="47"/>
        <v/>
      </c>
      <c r="EU21" s="850"/>
      <c r="EV21" s="38" t="str">
        <f t="shared" si="15"/>
        <v/>
      </c>
      <c r="EW21" s="552" t="str">
        <f t="shared" si="48"/>
        <v/>
      </c>
      <c r="EX21" s="833"/>
      <c r="EY21" s="559" t="s">
        <v>760</v>
      </c>
      <c r="EZ21" s="560" t="str">
        <f t="shared" si="49"/>
        <v/>
      </c>
      <c r="FA21" s="835"/>
      <c r="FB21" t="str">
        <f>IF($FC21="","",DATEDIF($BJ21,参照データ!$D$19,"Y"))</f>
        <v/>
      </c>
      <c r="FC21" s="298" t="str">
        <f>IFERROR(IF($BK21="男子",VLOOKUP($FJ21,参照データ!$D$92:$E$118,2,0),$FJ21),0)</f>
        <v/>
      </c>
      <c r="FD21" s="92" t="str">
        <f>IF($Y21="選手権",(VLOOKUP($FC21,参照データ!$D$92:$K$121,3,0)),"")</f>
        <v/>
      </c>
      <c r="FE21" s="93" t="str">
        <f t="shared" si="16"/>
        <v/>
      </c>
      <c r="FF21" s="92" t="str">
        <f>IF($AA21="選手権",(VLOOKUP($FC21,参照データ!$D$92:$K$121,4,0)),"")</f>
        <v/>
      </c>
      <c r="FG21" s="93" t="str">
        <f t="shared" si="17"/>
        <v/>
      </c>
      <c r="FH21" s="92" t="str">
        <f>IF($AC21="選手権",(VLOOKUP($FC21,参照データ!$D$92:$K$121,5,0)),"")</f>
        <v/>
      </c>
      <c r="FI21" s="93" t="str">
        <f t="shared" si="18"/>
        <v/>
      </c>
      <c r="FJ21" s="61" t="str">
        <f>IF(AND($BJ21&gt;=参照データ!$C$94,$BJ21&lt;=参照データ!$C$92),1,IF(AND($BJ21&gt;=参照データ!$C$97,$BJ21&lt;=参照データ!$C$95),2,IF(AND($BJ21&gt;=参照データ!$C$103,$BJ21&lt;=参照データ!$C$101),3,IF(AND($BJ21&gt;=参照データ!$C$109,$BJ21&lt;=参照データ!$C$107),4,IF(AND($BJ21&gt;=参照データ!$C$115,$BJ21&lt;=参照データ!$C$113),5,IF(AND($BJ21&gt;0,$BJ21&lt;=参照データ!$C$116),6,""))))))</f>
        <v/>
      </c>
      <c r="FK21" s="92" t="str">
        <f>IF($AE21="選手権",(VLOOKUP($FJ21,参照データ!$D$92:$K$121,6,0)),"")</f>
        <v/>
      </c>
      <c r="FL21" s="93" t="str">
        <f t="shared" si="19"/>
        <v/>
      </c>
      <c r="FM21" s="92" t="str">
        <f>IF($AG21="選手権",(VLOOKUP($FJ21,参照データ!$D$92:$K$121,7,0)),"")</f>
        <v/>
      </c>
      <c r="FN21" s="93" t="str">
        <f t="shared" si="50"/>
        <v/>
      </c>
      <c r="FO21" s="38" t="str">
        <f t="shared" si="51"/>
        <v/>
      </c>
      <c r="FP21" s="37" t="str">
        <f t="shared" si="52"/>
        <v/>
      </c>
      <c r="FQ21" s="93" t="str">
        <f t="shared" si="53"/>
        <v/>
      </c>
      <c r="FR21" s="976"/>
      <c r="FS21" s="99" t="s">
        <v>95</v>
      </c>
      <c r="FT21" s="100" t="str">
        <f t="shared" si="20"/>
        <v/>
      </c>
      <c r="FU21" s="978"/>
      <c r="FV21" s="356" t="str">
        <f t="shared" ref="FV21" si="78">$FV20</f>
        <v/>
      </c>
      <c r="FY21" s="40">
        <f>(COUNTIF($J21:$O21,"&lt;&gt;"))*参照データ!$E$3</f>
        <v>0</v>
      </c>
      <c r="FZ21" s="267" t="str">
        <f>IF($P21="○",参照データ!$E$4,"")</f>
        <v/>
      </c>
      <c r="GA21" s="19">
        <f>(SUM(COUNTIF($Q21:$U21,{"入門","初級"}))*参照データ!$E$9)+(SUM(COUNTIF($Q21:$U21,{"中級","上級"})*参照データ!$E$10))</f>
        <v>0</v>
      </c>
      <c r="GB21" s="19">
        <f>IFERROR(VLOOKUP($V21,参照データ!$D$9:$J$11,7,0),0)</f>
        <v>0</v>
      </c>
      <c r="GC21" s="19">
        <f>((COUNTIF($Y21:$AG21,"オープン"))*参照データ!$E$12)</f>
        <v>0</v>
      </c>
      <c r="GD21" s="19" t="str">
        <f>(IF($AI21="オープン",参照データ!$J$12,""))</f>
        <v/>
      </c>
      <c r="GE21" s="19">
        <f>(COUNTIF($AN21:$AU21,"○")*参照データ!$E$22)</f>
        <v>0</v>
      </c>
      <c r="GF21" s="19">
        <f>(COUNTIF($AV21:$BA21,"○")*参照データ!$I$22)</f>
        <v>0</v>
      </c>
      <c r="GI21" s="19">
        <f>((COUNTIF($Y21:$AG21,"選手権"))*参照データ!$E$13)</f>
        <v>0</v>
      </c>
      <c r="GJ21" s="19" t="str">
        <f>(IF($AI21="選手権",参照データ!$J$13,""))</f>
        <v/>
      </c>
      <c r="GK21" s="106">
        <f t="array" ref="GK21">SUM(IF(ISERROR(FY21:GJ21),0,(FY21:GJ21)))</f>
        <v>0</v>
      </c>
      <c r="GL21" s="19"/>
      <c r="GM21" s="19">
        <f t="shared" si="54"/>
        <v>0</v>
      </c>
      <c r="GN21" s="19">
        <f t="shared" si="55"/>
        <v>0</v>
      </c>
      <c r="GO21" s="19">
        <f t="shared" si="56"/>
        <v>0</v>
      </c>
      <c r="GP21" s="19">
        <f t="shared" si="21"/>
        <v>0</v>
      </c>
      <c r="GQ21" s="19">
        <f t="shared" si="57"/>
        <v>0</v>
      </c>
      <c r="GR21" s="19">
        <f t="shared" si="58"/>
        <v>0</v>
      </c>
      <c r="GS21" s="19">
        <f t="shared" si="59"/>
        <v>0</v>
      </c>
      <c r="GT21" s="19">
        <f t="shared" si="60"/>
        <v>0</v>
      </c>
      <c r="GU21" s="19">
        <f t="shared" si="61"/>
        <v>0</v>
      </c>
      <c r="GV21" t="str">
        <f t="shared" si="22"/>
        <v/>
      </c>
      <c r="GW21" t="str">
        <f t="shared" si="62"/>
        <v/>
      </c>
      <c r="GX21" t="str">
        <f t="shared" si="23"/>
        <v/>
      </c>
      <c r="GY21" t="str">
        <f t="shared" si="63"/>
        <v/>
      </c>
      <c r="GZ21" t="str">
        <f t="shared" si="24"/>
        <v/>
      </c>
    </row>
    <row r="22" spans="1:208" ht="18.75" customHeight="1" x14ac:dyDescent="0.15">
      <c r="A22">
        <v>11</v>
      </c>
      <c r="B22" s="15" t="str">
        <f>IF(D22="","",IF(D22="重複","",COUNTIF(B$12:$B21,"&gt;0")+1))</f>
        <v/>
      </c>
      <c r="C22" s="713"/>
      <c r="D22" s="185"/>
      <c r="E22" s="185"/>
      <c r="F22" s="36"/>
      <c r="G22" s="47"/>
      <c r="H22" s="402">
        <f t="shared" si="2"/>
        <v>0</v>
      </c>
      <c r="I22" s="201" t="str">
        <f>IF($BJ22=0,"",DATEDIF($BJ22,参照データ!$D$16,"Y"))</f>
        <v/>
      </c>
      <c r="J22" s="41"/>
      <c r="K22" s="41"/>
      <c r="L22" s="41"/>
      <c r="M22" s="41"/>
      <c r="N22" s="41"/>
      <c r="O22" s="49"/>
      <c r="P22" s="395"/>
      <c r="Q22" s="51"/>
      <c r="R22" s="289"/>
      <c r="S22" s="289"/>
      <c r="T22" s="289"/>
      <c r="U22" s="290"/>
      <c r="V22" s="292"/>
      <c r="W22" s="295"/>
      <c r="Y22" s="446"/>
      <c r="Z22" s="396" t="str">
        <f>IF($Y22="オープン",VLOOKUP($CO22,参照データ!$D$69:$M$86,9,0),IF($Y22="選手権",VLOOKUP($FC22,参照データ!$D$92:$O$121,10,0),""))</f>
        <v/>
      </c>
      <c r="AA22" s="446"/>
      <c r="AB22" s="666" t="str">
        <f>IF($AA22="オープン",VLOOKUP($CO22,参照データ!$D$69:$M$86,10,0),IF($AA22="選手権",VLOOKUP($FC22,参照データ!$D$92:$O$121,11,0),""))</f>
        <v/>
      </c>
      <c r="AC22" s="669"/>
      <c r="AD22" s="396" t="str">
        <f>IF($AC22="オープン",VLOOKUP($CO22,参照データ!$D$69:$M$86,10,0),IF($AC22="選手権",VLOOKUP($FC22,参照データ!$D$92:$O$121,11,0),""))</f>
        <v/>
      </c>
      <c r="AE22" s="446"/>
      <c r="AF22" s="396" t="str">
        <f>IF($AE22="オープン",VLOOKUP($CO22,参照データ!$D$69:$M$86,10,0),IF($AE22="選手権",VLOOKUP($FJ22,参照データ!$D$92:$O$121,12,0),""))</f>
        <v/>
      </c>
      <c r="AG22" s="446"/>
      <c r="AH22" s="396" t="str">
        <f>IF($AG22="オープン",VLOOKUP($CO22,参照データ!$D$69:$M$86,10,0),IF($AG22="選手権",VLOOKUP($FJ22,参照データ!$D$92:$O$121,12,0),""))</f>
        <v/>
      </c>
      <c r="AI22" s="446"/>
      <c r="AJ22" s="449"/>
      <c r="AK22" s="396" t="str">
        <f t="shared" si="3"/>
        <v/>
      </c>
      <c r="AL22" s="587"/>
      <c r="AM22" s="588" t="str">
        <f>IF($BJ22=0,"",DATEDIF($BJ22,参照データ!$D$17,"Y"))</f>
        <v/>
      </c>
      <c r="AN22" s="450"/>
      <c r="AO22" s="591" t="str">
        <f>IF(AN22="","",IF($BK22="男子",VLOOKUP($DI22,参照データ!$D$128:$M$145,10,FALSE),VLOOKUP($DH22,参照データ!$D$128:$M$145,10,FALSE)))</f>
        <v/>
      </c>
      <c r="AP22" s="450"/>
      <c r="AQ22" s="591" t="str">
        <f>IF(AP22="","",IF($BK22="男子",VLOOKUP($DI22,参照データ!$D$128:$M$145,10,FALSE),VLOOKUP($DH22,参照データ!$D$128:$M$145,10,FALSE)))</f>
        <v/>
      </c>
      <c r="AR22" s="450"/>
      <c r="AS22" s="591" t="str">
        <f>IF(AR22="","",IF($BK22="男子",VLOOKUP($DI22,参照データ!$D$128:$M$145,10,FALSE),VLOOKUP($DH22,参照データ!$D$128:$M$145,10,FALSE)))</f>
        <v/>
      </c>
      <c r="AT22" s="450"/>
      <c r="AU22" s="591" t="str">
        <f>IF(AT22="","",IF($BK22="男子",VLOOKUP($DI22,参照データ!$D$128:$M$145,10,FALSE),VLOOKUP($DH22,参照データ!$D$128:$M$145,10,FALSE)))</f>
        <v/>
      </c>
      <c r="AV22" s="448"/>
      <c r="AW22" s="448"/>
      <c r="AX22" s="585" t="str">
        <f t="shared" si="25"/>
        <v/>
      </c>
      <c r="AY22" s="448"/>
      <c r="AZ22" s="448"/>
      <c r="BA22" s="585" t="str">
        <f t="shared" si="4"/>
        <v/>
      </c>
      <c r="BB22" s="677"/>
      <c r="BC22" s="724"/>
      <c r="BD22" s="640"/>
      <c r="BE22" s="623"/>
      <c r="BF22" s="365"/>
      <c r="BG22" s="366"/>
      <c r="BJ22">
        <f t="shared" si="75"/>
        <v>0</v>
      </c>
      <c r="BK22" t="str">
        <f t="shared" si="65"/>
        <v/>
      </c>
      <c r="BL22" s="146"/>
      <c r="BO22" s="61" t="str">
        <f>IF($BJ22=0,"",IF(AND($I22&gt;=6,$I22&lt;=19),VLOOKUP($I22,参照データ!$B$28:$C$41,2,0),IF($I22&lt;6,6,19)))</f>
        <v/>
      </c>
      <c r="BP22" s="178" t="str">
        <f>IF($J22=$BI$12,VLOOKUP($BO22,参照データ!$C$28:$I$41,2,0),"")</f>
        <v/>
      </c>
      <c r="BQ22" s="169" t="str">
        <f>IF($K22=$BI$12,VLOOKUP($BO22,参照データ!$C$28:$I$41,3,0),"")</f>
        <v/>
      </c>
      <c r="BR22" s="169" t="str">
        <f>IF($L22=$BI$12,VLOOKUP($BO22,参照データ!$C$28:$I$41,4,0),"")</f>
        <v/>
      </c>
      <c r="BS22" s="169" t="str">
        <f>IF($M22=$BI$12,VLOOKUP($BO22,参照データ!$C$28:$I$41,5,0),"")</f>
        <v/>
      </c>
      <c r="BT22" s="169" t="str">
        <f>IF($N22=$BI$12,VLOOKUP($BO22,参照データ!$C$28:$I$41,6,0),"")</f>
        <v/>
      </c>
      <c r="BU22" s="179" t="str">
        <f>IF($O22=$BI$12,VLOOKUP($BO22,参照データ!$C$28:$I$41,7,0),"")</f>
        <v/>
      </c>
      <c r="BV22" s="178" t="str">
        <f>IF($J22=$BI$13,VLOOKUP($BO22,参照データ!$C$28:$I$41,2,0),"")</f>
        <v/>
      </c>
      <c r="BW22" s="169" t="str">
        <f>IF($K22=$BI$13,VLOOKUP($BO22,参照データ!$C$28:$I$41,3,0),"")</f>
        <v/>
      </c>
      <c r="BX22" s="169" t="str">
        <f>IF($L22=$BI$13,VLOOKUP($BO22,参照データ!$C$28:$I$41,4,0),"")</f>
        <v/>
      </c>
      <c r="BY22" s="169" t="str">
        <f>IF($M22=$BI$13,VLOOKUP($BO22,参照データ!$C$28:$I$41,5,0),"")</f>
        <v/>
      </c>
      <c r="BZ22" s="169" t="str">
        <f>IF($N22=$BI$13,VLOOKUP($BO22,参照データ!$C$28:$I$41,6,0),"")</f>
        <v/>
      </c>
      <c r="CA22" s="179" t="str">
        <f>IF($O22=$BI$13,VLOOKUP($BO22,参照データ!$C$28:$I$41,7,0),"")</f>
        <v/>
      </c>
      <c r="CB22" s="271" t="str">
        <f t="shared" si="26"/>
        <v/>
      </c>
      <c r="CC22" s="177" t="str">
        <f>IF($Q22="入門",VLOOKUP($BO22,参照データ!$C$47:$U$60,2,0),IF($Q22="初級",VLOOKUP($BO22,参照データ!$C$47:$U$60,3,0),IF($Q22="中級",VLOOKUP($BO22,参照データ!$C$47:$U$60,4,0),IF($Q22="上級",VLOOKUP($BO22,参照データ!$C$47:$U$60,5,0),""))))</f>
        <v/>
      </c>
      <c r="CD22" s="177" t="str">
        <f>IF($R22="初級",VLOOKUP($BO22,参照データ!$C$47:$U$60,6,0),IF($R22="中級",VLOOKUP($BO22,参照データ!$C$47:$U$60,7,0),IF($R22="上級",VLOOKUP($BO22,参照データ!$C$47:$U$60,8,0),"")))</f>
        <v/>
      </c>
      <c r="CE22" s="177" t="str">
        <f>IF($S22="初級",VLOOKUP($BO22,参照データ!$C$47:$U$60,9,0),IF($S22="上級",VLOOKUP($BO22,参照データ!$C$47:$U$60,10,0),""))</f>
        <v/>
      </c>
      <c r="CF22" s="177" t="str">
        <f>IF($T22="初級",VLOOKUP($BO22,参照データ!$C$47:$U$60,11,0),IF($T22="中級",VLOOKUP($BO22,参照データ!$C$47:$U$60,12,0),IF($T22="上級",VLOOKUP($BO22,参照データ!$C$47:$U$60,13,0),"")))</f>
        <v/>
      </c>
      <c r="CG22" s="177" t="str">
        <f>IF($U22="初級",VLOOKUP($BO22,参照データ!$C$47:$U$60,14,0),IF($U22="中級",VLOOKUP($BO22,参照データ!$C$47:$U$60,15,0),IF($U22="上級",VLOOKUP($BO22,参照データ!$C$47:$U$60,16,0),"")))</f>
        <v/>
      </c>
      <c r="CH22" s="55" t="str">
        <f t="shared" si="5"/>
        <v/>
      </c>
      <c r="CI22" s="55" t="str">
        <f>IF($V22="初級",VLOOKUP($BO22,参照データ!$C$47:$U$60,17,0),IF($V22="中級",VLOOKUP($BO22,参照データ!$C$47:$U$60,18,0),IF($V22="上級",VLOOKUP($BO22,参照データ!$C$47:$U$60,19,0),"")))</f>
        <v/>
      </c>
      <c r="CJ22" s="867">
        <v>6</v>
      </c>
      <c r="CK22" s="74" t="s">
        <v>246</v>
      </c>
      <c r="CL22" s="151" t="str">
        <f t="shared" si="6"/>
        <v/>
      </c>
      <c r="CM22" s="871" t="str">
        <f t="shared" ref="CM22" si="79">IF(OR($CL22="",$CL23=""),"",IF($CL22&gt;$CL23,$CL22,$CL23))</f>
        <v/>
      </c>
      <c r="CO22" s="61">
        <f>IF(AND($BJ22&gt;=参照データ!$C$71,$BJ22&lt;=参照データ!$C$69),1,IF(AND($BJ22&gt;=参照データ!$C$74,$BJ22&lt;=参照データ!$C$72),2,IF(AND($BJ22&gt;=参照データ!$C$77,$BJ22&lt;=参照データ!$C$75),3,IF(AND($BJ22&gt;=参照データ!$C$80,$BJ22&lt;=参照データ!$C$78),4,IF(AND($BJ22&gt;=参照データ!$C$83,$BJ22&lt;=参照データ!$C$81),5,IF(AND($BJ22&gt;0,$BJ22&lt;=参照データ!$C$84),6,""))))))</f>
        <v>5</v>
      </c>
      <c r="CP22" s="160" t="str">
        <f>IF($Y22="オープン",(VLOOKUP($CO22,参照データ!$D$69:$J$86,2,0)),"")</f>
        <v/>
      </c>
      <c r="CQ22" s="79" t="str">
        <f t="shared" si="27"/>
        <v/>
      </c>
      <c r="CR22" s="78" t="str">
        <f>IF($AA22="オープン",(VLOOKUP($CO22,参照データ!$D$69:$J$86,3,0)),"")</f>
        <v/>
      </c>
      <c r="CS22" s="79" t="str">
        <f t="shared" si="28"/>
        <v/>
      </c>
      <c r="CT22" s="78" t="str">
        <f>IF($AC22="オープン",(VLOOKUP($CO22,参照データ!$D$69:$J$86,4,0)),"")</f>
        <v/>
      </c>
      <c r="CU22" s="79" t="str">
        <f t="shared" si="29"/>
        <v/>
      </c>
      <c r="CV22" s="78" t="str">
        <f>IF($AE22="オープン",(VLOOKUP($CO22,参照データ!$D$69:$J$86,5,0)),"")</f>
        <v/>
      </c>
      <c r="CW22" s="79" t="str">
        <f t="shared" si="7"/>
        <v/>
      </c>
      <c r="CX22" s="78" t="str">
        <f>IF($AG22="オープン",(VLOOKUP($CO22,参照データ!$D$69:$J$86,6,0)),"")</f>
        <v/>
      </c>
      <c r="CY22" s="79" t="str">
        <f t="shared" si="30"/>
        <v/>
      </c>
      <c r="CZ22" s="38" t="str">
        <f t="shared" si="31"/>
        <v/>
      </c>
      <c r="DA22" s="37" t="str">
        <f t="shared" si="32"/>
        <v/>
      </c>
      <c r="DB22" s="79" t="str">
        <f t="shared" si="33"/>
        <v/>
      </c>
      <c r="DC22" s="857">
        <v>6</v>
      </c>
      <c r="DD22" s="87" t="s">
        <v>96</v>
      </c>
      <c r="DE22" s="88" t="str">
        <f t="shared" si="34"/>
        <v/>
      </c>
      <c r="DF22" s="859" t="e">
        <f>IF($DE22&gt;$DE23,VLOOKUP($DE22,参照データ!$D$69:$J$86,7,0),VLOOKUP($DE23,参照データ!$D$69:$J$86,7,0))</f>
        <v>#N/A</v>
      </c>
      <c r="DG22" s="350" t="str">
        <f>IFERROR(VLOOKUP($DF22,参照データ!$J$69:$M$86,4,0),"")</f>
        <v/>
      </c>
      <c r="DH22" s="523">
        <f>IF(AND($BJ22&gt;=参照データ!$C$130,$BJ22&lt;=参照データ!$C$128),1,IF(AND($BJ22&gt;=参照データ!$C$133,$BJ22&lt;=参照データ!$C$131),2,IF(AND($BJ22&gt;=参照データ!$C$139,$BJ22&lt;=参照データ!$C$137),3,IF(AND($BJ22&gt;0,$BJ22&lt;=参照データ!$C$140),4,""))))</f>
        <v>1</v>
      </c>
      <c r="DI22" s="523">
        <f t="shared" si="35"/>
        <v>7</v>
      </c>
      <c r="DJ22" s="523" t="str">
        <f t="shared" si="36"/>
        <v/>
      </c>
      <c r="DK22" s="524" t="str">
        <f>IF($AN22="","",IF(AND($AN22="○",$BK22="男子"),VLOOKUP($DI22,参照データ!$D$128:$J$145,3,FALSE),VLOOKUP($DH22,参照データ!$D$128:$J$145,3,FALSE)))</f>
        <v/>
      </c>
      <c r="DL22" s="525" t="str">
        <f t="shared" si="37"/>
        <v/>
      </c>
      <c r="DM22" s="524" t="str">
        <f>IF($AP22="","",IF(AND($AP22="○",$BK22="男子"),VLOOKUP($DI22,参照データ!$D$128:$J$145,4,FALSE),VLOOKUP($DH22,参照データ!$D$128:$J$145,4,FALSE)))</f>
        <v/>
      </c>
      <c r="DN22" s="525" t="str">
        <f t="shared" si="38"/>
        <v/>
      </c>
      <c r="DO22" s="524" t="str">
        <f>IF($AR22="","",IF(AND($AR22="○",$BK22="男子"),VLOOKUP($DI22,参照データ!$D$128:$J$145,5,FALSE),VLOOKUP($DH22,参照データ!$D$128:$J$145,5,FALSE)))</f>
        <v/>
      </c>
      <c r="DP22" s="525" t="str">
        <f t="shared" si="39"/>
        <v/>
      </c>
      <c r="DQ22" s="524" t="str">
        <f>IF($AT22="","",IF(AND($AT22="○",$BK22="男子"),VLOOKUP($DI22,参照データ!$D$128:$J$145,6,FALSE),VLOOKUP($DH22,参照データ!$D$128:$J$145,6,FALSE)))</f>
        <v/>
      </c>
      <c r="DR22" s="525" t="str">
        <f t="shared" si="40"/>
        <v/>
      </c>
      <c r="DS22" s="526" t="str">
        <f t="shared" si="41"/>
        <v/>
      </c>
      <c r="DT22" s="527" t="str">
        <f t="shared" si="42"/>
        <v/>
      </c>
      <c r="DU22" s="528" t="str">
        <f t="shared" si="43"/>
        <v/>
      </c>
      <c r="DV22" s="982">
        <v>6</v>
      </c>
      <c r="DW22" s="533" t="s">
        <v>96</v>
      </c>
      <c r="DX22" s="534" t="str">
        <f t="shared" si="8"/>
        <v/>
      </c>
      <c r="DY22" s="877" t="e">
        <f>IF($DX22&gt;$DX23,VLOOKUP($DX22,参照データ!$D$128:$K$145,7,0),VLOOKUP($DX23,参照データ!$D$128:$K$145,7,0))</f>
        <v>#N/A</v>
      </c>
      <c r="DZ22" s="692" t="str">
        <f>IFERROR(VLOOKUP($DY22,参照データ!$J$128:$N$145,5,0),"")</f>
        <v/>
      </c>
      <c r="EA22" s="526" t="str">
        <f t="shared" si="9"/>
        <v/>
      </c>
      <c r="EB22" s="527" t="str">
        <f t="shared" si="10"/>
        <v/>
      </c>
      <c r="EC22" s="528" t="str">
        <f t="shared" si="11"/>
        <v/>
      </c>
      <c r="ED22" s="982">
        <v>6</v>
      </c>
      <c r="EE22" s="533" t="s">
        <v>96</v>
      </c>
      <c r="EF22" s="533" t="str">
        <f t="shared" si="12"/>
        <v/>
      </c>
      <c r="EG22" s="534" t="str">
        <f>IF(SUM(EF22:EF23)&lt;24,"",IF(SUM(EF22:EF23)&gt;=36,3,2))</f>
        <v/>
      </c>
      <c r="EH22" s="877" t="e">
        <f>IF($EG22&gt;$EG23,VLOOKUP($EG22,参照データ!$D$128:$K$145,8,0),VLOOKUP($EG23,参照データ!$D$128:$K$145,8,0))</f>
        <v>#N/A</v>
      </c>
      <c r="EI22" s="527" t="str">
        <f>IFERROR(VLOOKUP($EH22,参照データ!$K$128:$N$145,4,0),"")</f>
        <v/>
      </c>
      <c r="EJ22" s="555" t="str">
        <f t="shared" si="13"/>
        <v/>
      </c>
      <c r="EK22" s="556" t="str">
        <f t="shared" si="44"/>
        <v/>
      </c>
      <c r="EL22" s="845">
        <v>2</v>
      </c>
      <c r="EM22" s="565" t="s">
        <v>763</v>
      </c>
      <c r="EN22" s="566" t="str">
        <f t="shared" si="45"/>
        <v/>
      </c>
      <c r="EO22" s="848" t="str">
        <f>IF(COUNTIF(EN22:EN31,"○")&gt;=1,"TT","")</f>
        <v/>
      </c>
      <c r="EP22" s="555" t="str">
        <f t="shared" si="14"/>
        <v/>
      </c>
      <c r="EQ22" s="556" t="str">
        <f t="shared" si="46"/>
        <v/>
      </c>
      <c r="ER22" s="845">
        <v>2</v>
      </c>
      <c r="ES22" s="565" t="s">
        <v>763</v>
      </c>
      <c r="ET22" s="566" t="str">
        <f t="shared" si="47"/>
        <v/>
      </c>
      <c r="EU22" s="848" t="str">
        <f>IF(COUNTIF(ET22:ET31,"○")&gt;=1,"FT","")</f>
        <v/>
      </c>
      <c r="EV22" s="38" t="str">
        <f t="shared" si="15"/>
        <v/>
      </c>
      <c r="EW22" s="552" t="str">
        <f t="shared" si="48"/>
        <v/>
      </c>
      <c r="EX22" s="833"/>
      <c r="EY22" s="559" t="s">
        <v>762</v>
      </c>
      <c r="EZ22" s="560" t="str">
        <f t="shared" si="49"/>
        <v/>
      </c>
      <c r="FA22" s="835"/>
      <c r="FB22" t="str">
        <f>IF($FC22="","",DATEDIF($BJ22,参照データ!$D$19,"Y"))</f>
        <v/>
      </c>
      <c r="FC22" s="298" t="str">
        <f>IFERROR(IF($BK22="男子",VLOOKUP($FJ22,参照データ!$D$92:$E$118,2,0),$FJ22),0)</f>
        <v/>
      </c>
      <c r="FD22" s="92" t="str">
        <f>IF($Y22="選手権",(VLOOKUP($FC22,参照データ!$D$92:$K$121,3,0)),"")</f>
        <v/>
      </c>
      <c r="FE22" s="93" t="str">
        <f t="shared" si="16"/>
        <v/>
      </c>
      <c r="FF22" s="92" t="str">
        <f>IF($AA22="選手権",(VLOOKUP($FC22,参照データ!$D$92:$K$121,4,0)),"")</f>
        <v/>
      </c>
      <c r="FG22" s="93" t="str">
        <f t="shared" si="17"/>
        <v/>
      </c>
      <c r="FH22" s="92" t="str">
        <f>IF($AC22="選手権",(VLOOKUP($FC22,参照データ!$D$92:$K$121,5,0)),"")</f>
        <v/>
      </c>
      <c r="FI22" s="93" t="str">
        <f t="shared" si="18"/>
        <v/>
      </c>
      <c r="FJ22" s="61" t="str">
        <f>IF(AND($BJ22&gt;=参照データ!$C$94,$BJ22&lt;=参照データ!$C$92),1,IF(AND($BJ22&gt;=参照データ!$C$97,$BJ22&lt;=参照データ!$C$95),2,IF(AND($BJ22&gt;=参照データ!$C$103,$BJ22&lt;=参照データ!$C$101),3,IF(AND($BJ22&gt;=参照データ!$C$109,$BJ22&lt;=参照データ!$C$107),4,IF(AND($BJ22&gt;=参照データ!$C$115,$BJ22&lt;=参照データ!$C$113),5,IF(AND($BJ22&gt;0,$BJ22&lt;=参照データ!$C$116),6,""))))))</f>
        <v/>
      </c>
      <c r="FK22" s="92" t="str">
        <f>IF($AE22="選手権",(VLOOKUP($FJ22,参照データ!$D$92:$K$121,6,0)),"")</f>
        <v/>
      </c>
      <c r="FL22" s="93" t="str">
        <f t="shared" si="19"/>
        <v/>
      </c>
      <c r="FM22" s="92" t="str">
        <f>IF($AG22="選手権",(VLOOKUP($FJ22,参照データ!$D$92:$K$121,7,0)),"")</f>
        <v/>
      </c>
      <c r="FN22" s="93" t="str">
        <f t="shared" si="50"/>
        <v/>
      </c>
      <c r="FO22" s="38" t="str">
        <f t="shared" si="51"/>
        <v/>
      </c>
      <c r="FP22" s="37" t="str">
        <f t="shared" si="52"/>
        <v/>
      </c>
      <c r="FQ22" s="93" t="str">
        <f t="shared" si="53"/>
        <v/>
      </c>
      <c r="FR22" s="979">
        <v>6</v>
      </c>
      <c r="FS22" s="101" t="s">
        <v>96</v>
      </c>
      <c r="FT22" s="102" t="str">
        <f t="shared" si="20"/>
        <v/>
      </c>
      <c r="FU22" s="980" t="e">
        <f>IF($FT22&gt;$FT23,VLOOKUP($FT22,参照データ!$D$92:$K$121,8,0),VLOOKUP($FT23,参照データ!$D$92:$K$121,8,0))</f>
        <v>#N/A</v>
      </c>
      <c r="FV22" s="356" t="str">
        <f>IFERROR(VLOOKUP($FU22,参照データ!$K$92:$O$121,5,0),"")</f>
        <v/>
      </c>
      <c r="FY22" s="40">
        <f>(COUNTIF($J22:$O22,"&lt;&gt;"))*参照データ!$E$3</f>
        <v>0</v>
      </c>
      <c r="FZ22" s="267" t="str">
        <f>IF($P22="○",参照データ!$E$4,"")</f>
        <v/>
      </c>
      <c r="GA22" s="19">
        <f>(SUM(COUNTIF($Q22:$U22,{"入門","初級"}))*参照データ!$E$9)+(SUM(COUNTIF($Q22:$U22,{"中級","上級"})*参照データ!$E$10))</f>
        <v>0</v>
      </c>
      <c r="GB22" s="19">
        <f>IFERROR(VLOOKUP($V22,参照データ!$D$9:$J$11,7,0),0)</f>
        <v>0</v>
      </c>
      <c r="GC22" s="19">
        <f>((COUNTIF($Y22:$AG22,"オープン"))*参照データ!$E$12)</f>
        <v>0</v>
      </c>
      <c r="GD22" s="19" t="str">
        <f>(IF($AI22="オープン",参照データ!$J$12,""))</f>
        <v/>
      </c>
      <c r="GE22" s="19">
        <f>(COUNTIF($AN22:$AU22,"○")*参照データ!$E$22)</f>
        <v>0</v>
      </c>
      <c r="GF22" s="19">
        <f>(COUNTIF($AV22:$BA22,"○")*参照データ!$I$22)</f>
        <v>0</v>
      </c>
      <c r="GI22" s="19">
        <f>((COUNTIF($Y22:$AG22,"選手権"))*参照データ!$E$13)</f>
        <v>0</v>
      </c>
      <c r="GJ22" s="19" t="str">
        <f>(IF($AI22="選手権",参照データ!$J$13,""))</f>
        <v/>
      </c>
      <c r="GK22" s="106">
        <f t="array" ref="GK22">SUM(IF(ISERROR(FY22:GJ22),0,(FY22:GJ22)))</f>
        <v>0</v>
      </c>
      <c r="GL22" s="19"/>
      <c r="GM22" s="19">
        <f t="shared" si="54"/>
        <v>0</v>
      </c>
      <c r="GN22" s="19">
        <f t="shared" si="55"/>
        <v>0</v>
      </c>
      <c r="GO22" s="19">
        <f t="shared" si="56"/>
        <v>0</v>
      </c>
      <c r="GP22" s="19">
        <f t="shared" si="21"/>
        <v>0</v>
      </c>
      <c r="GQ22" s="19">
        <f t="shared" si="57"/>
        <v>0</v>
      </c>
      <c r="GR22" s="19">
        <f t="shared" si="58"/>
        <v>0</v>
      </c>
      <c r="GS22" s="19">
        <f t="shared" si="59"/>
        <v>0</v>
      </c>
      <c r="GT22" s="19">
        <f t="shared" si="60"/>
        <v>0</v>
      </c>
      <c r="GU22" s="19">
        <f t="shared" si="61"/>
        <v>0</v>
      </c>
      <c r="GV22" t="str">
        <f t="shared" si="22"/>
        <v/>
      </c>
      <c r="GW22" t="str">
        <f t="shared" si="62"/>
        <v/>
      </c>
      <c r="GX22" t="str">
        <f t="shared" si="23"/>
        <v/>
      </c>
      <c r="GY22" t="str">
        <f t="shared" si="63"/>
        <v/>
      </c>
      <c r="GZ22" t="str">
        <f t="shared" si="24"/>
        <v/>
      </c>
    </row>
    <row r="23" spans="1:208" ht="18.75" customHeight="1" x14ac:dyDescent="0.15">
      <c r="A23">
        <v>12</v>
      </c>
      <c r="B23" s="15" t="str">
        <f>IF(D23="","",IF(D23="重複","",COUNTIF(B$12:$B22,"&gt;0")+1))</f>
        <v/>
      </c>
      <c r="C23" s="713"/>
      <c r="D23" s="185"/>
      <c r="E23" s="185"/>
      <c r="F23" s="36"/>
      <c r="G23" s="47"/>
      <c r="H23" s="402">
        <f t="shared" si="2"/>
        <v>0</v>
      </c>
      <c r="I23" s="201" t="str">
        <f>IF($BJ23=0,"",DATEDIF($BJ23,参照データ!$D$16,"Y"))</f>
        <v/>
      </c>
      <c r="J23" s="41"/>
      <c r="K23" s="41"/>
      <c r="L23" s="41"/>
      <c r="M23" s="41"/>
      <c r="N23" s="41"/>
      <c r="O23" s="49"/>
      <c r="P23" s="395"/>
      <c r="Q23" s="51"/>
      <c r="R23" s="289"/>
      <c r="S23" s="289"/>
      <c r="T23" s="289"/>
      <c r="U23" s="290"/>
      <c r="V23" s="292"/>
      <c r="W23" s="295"/>
      <c r="Y23" s="446"/>
      <c r="Z23" s="396" t="str">
        <f>IF($Y23="オープン",VLOOKUP($CO23,参照データ!$D$69:$M$86,9,0),IF($Y23="選手権",VLOOKUP($FC23,参照データ!$D$92:$O$121,10,0),""))</f>
        <v/>
      </c>
      <c r="AA23" s="446"/>
      <c r="AB23" s="666" t="str">
        <f>IF($AA23="オープン",VLOOKUP($CO23,参照データ!$D$69:$M$86,10,0),IF($AA23="選手権",VLOOKUP($FC23,参照データ!$D$92:$O$121,11,0),""))</f>
        <v/>
      </c>
      <c r="AC23" s="669"/>
      <c r="AD23" s="396" t="str">
        <f>IF($AC23="オープン",VLOOKUP($CO23,参照データ!$D$69:$M$86,10,0),IF($AC23="選手権",VLOOKUP($FC23,参照データ!$D$92:$O$121,11,0),""))</f>
        <v/>
      </c>
      <c r="AE23" s="446"/>
      <c r="AF23" s="396" t="str">
        <f>IF($AE23="オープン",VLOOKUP($CO23,参照データ!$D$69:$M$86,10,0),IF($AE23="選手権",VLOOKUP($FJ23,参照データ!$D$92:$O$121,12,0),""))</f>
        <v/>
      </c>
      <c r="AG23" s="446"/>
      <c r="AH23" s="396" t="str">
        <f>IF($AG23="オープン",VLOOKUP($CO23,参照データ!$D$69:$M$86,10,0),IF($AG23="選手権",VLOOKUP($FJ23,参照データ!$D$92:$O$121,12,0),""))</f>
        <v/>
      </c>
      <c r="AI23" s="446"/>
      <c r="AJ23" s="449"/>
      <c r="AK23" s="396" t="str">
        <f t="shared" si="3"/>
        <v/>
      </c>
      <c r="AL23" s="587"/>
      <c r="AM23" s="588" t="str">
        <f>IF($BJ23=0,"",DATEDIF($BJ23,参照データ!$D$17,"Y"))</f>
        <v/>
      </c>
      <c r="AN23" s="450"/>
      <c r="AO23" s="591" t="str">
        <f>IF(AN23="","",IF($BK23="男子",VLOOKUP($DI23,参照データ!$D$128:$M$145,10,FALSE),VLOOKUP($DH23,参照データ!$D$128:$M$145,10,FALSE)))</f>
        <v/>
      </c>
      <c r="AP23" s="450"/>
      <c r="AQ23" s="591" t="str">
        <f>IF(AP23="","",IF($BK23="男子",VLOOKUP($DI23,参照データ!$D$128:$M$145,10,FALSE),VLOOKUP($DH23,参照データ!$D$128:$M$145,10,FALSE)))</f>
        <v/>
      </c>
      <c r="AR23" s="450"/>
      <c r="AS23" s="591" t="str">
        <f>IF(AR23="","",IF($BK23="男子",VLOOKUP($DI23,参照データ!$D$128:$M$145,10,FALSE),VLOOKUP($DH23,参照データ!$D$128:$M$145,10,FALSE)))</f>
        <v/>
      </c>
      <c r="AT23" s="450"/>
      <c r="AU23" s="591" t="str">
        <f>IF(AT23="","",IF($BK23="男子",VLOOKUP($DI23,参照データ!$D$128:$M$145,10,FALSE),VLOOKUP($DH23,参照データ!$D$128:$M$145,10,FALSE)))</f>
        <v/>
      </c>
      <c r="AV23" s="448"/>
      <c r="AW23" s="448"/>
      <c r="AX23" s="585" t="str">
        <f t="shared" si="25"/>
        <v/>
      </c>
      <c r="AY23" s="448"/>
      <c r="AZ23" s="448"/>
      <c r="BA23" s="585" t="str">
        <f t="shared" si="4"/>
        <v/>
      </c>
      <c r="BB23" s="677"/>
      <c r="BC23" s="724"/>
      <c r="BD23" s="640"/>
      <c r="BE23" s="623"/>
      <c r="BF23" s="365"/>
      <c r="BG23" s="366"/>
      <c r="BJ23">
        <f t="shared" si="75"/>
        <v>0</v>
      </c>
      <c r="BK23" t="str">
        <f t="shared" si="65"/>
        <v/>
      </c>
      <c r="BL23" s="146"/>
      <c r="BO23" s="61" t="str">
        <f>IF($BJ23=0,"",IF(AND($I23&gt;=6,$I23&lt;=19),VLOOKUP($I23,参照データ!$B$28:$C$41,2,0),IF($I23&lt;6,6,19)))</f>
        <v/>
      </c>
      <c r="BP23" s="178" t="str">
        <f>IF($J23=$BI$12,VLOOKUP($BO23,参照データ!$C$28:$I$41,2,0),"")</f>
        <v/>
      </c>
      <c r="BQ23" s="169" t="str">
        <f>IF($K23=$BI$12,VLOOKUP($BO23,参照データ!$C$28:$I$41,3,0),"")</f>
        <v/>
      </c>
      <c r="BR23" s="169" t="str">
        <f>IF($L23=$BI$12,VLOOKUP($BO23,参照データ!$C$28:$I$41,4,0),"")</f>
        <v/>
      </c>
      <c r="BS23" s="169" t="str">
        <f>IF($M23=$BI$12,VLOOKUP($BO23,参照データ!$C$28:$I$41,5,0),"")</f>
        <v/>
      </c>
      <c r="BT23" s="169" t="str">
        <f>IF($N23=$BI$12,VLOOKUP($BO23,参照データ!$C$28:$I$41,6,0),"")</f>
        <v/>
      </c>
      <c r="BU23" s="179" t="str">
        <f>IF($O23=$BI$12,VLOOKUP($BO23,参照データ!$C$28:$I$41,7,0),"")</f>
        <v/>
      </c>
      <c r="BV23" s="178" t="str">
        <f>IF($J23=$BI$13,VLOOKUP($BO23,参照データ!$C$28:$I$41,2,0),"")</f>
        <v/>
      </c>
      <c r="BW23" s="169" t="str">
        <f>IF($K23=$BI$13,VLOOKUP($BO23,参照データ!$C$28:$I$41,3,0),"")</f>
        <v/>
      </c>
      <c r="BX23" s="169" t="str">
        <f>IF($L23=$BI$13,VLOOKUP($BO23,参照データ!$C$28:$I$41,4,0),"")</f>
        <v/>
      </c>
      <c r="BY23" s="169" t="str">
        <f>IF($M23=$BI$13,VLOOKUP($BO23,参照データ!$C$28:$I$41,5,0),"")</f>
        <v/>
      </c>
      <c r="BZ23" s="169" t="str">
        <f>IF($N23=$BI$13,VLOOKUP($BO23,参照データ!$C$28:$I$41,6,0),"")</f>
        <v/>
      </c>
      <c r="CA23" s="179" t="str">
        <f>IF($O23=$BI$13,VLOOKUP($BO23,参照データ!$C$28:$I$41,7,0),"")</f>
        <v/>
      </c>
      <c r="CB23" s="271" t="str">
        <f t="shared" si="26"/>
        <v/>
      </c>
      <c r="CC23" s="177" t="str">
        <f>IF($Q23="入門",VLOOKUP($BO23,参照データ!$C$47:$U$60,2,0),IF($Q23="初級",VLOOKUP($BO23,参照データ!$C$47:$U$60,3,0),IF($Q23="中級",VLOOKUP($BO23,参照データ!$C$47:$U$60,4,0),IF($Q23="上級",VLOOKUP($BO23,参照データ!$C$47:$U$60,5,0),""))))</f>
        <v/>
      </c>
      <c r="CD23" s="177" t="str">
        <f>IF($R23="初級",VLOOKUP($BO23,参照データ!$C$47:$U$60,6,0),IF($R23="中級",VLOOKUP($BO23,参照データ!$C$47:$U$60,7,0),IF($R23="上級",VLOOKUP($BO23,参照データ!$C$47:$U$60,8,0),"")))</f>
        <v/>
      </c>
      <c r="CE23" s="177" t="str">
        <f>IF($S23="初級",VLOOKUP($BO23,参照データ!$C$47:$U$60,9,0),IF($S23="上級",VLOOKUP($BO23,参照データ!$C$47:$U$60,10,0),""))</f>
        <v/>
      </c>
      <c r="CF23" s="177" t="str">
        <f>IF($T23="初級",VLOOKUP($BO23,参照データ!$C$47:$U$60,11,0),IF($T23="中級",VLOOKUP($BO23,参照データ!$C$47:$U$60,12,0),IF($T23="上級",VLOOKUP($BO23,参照データ!$C$47:$U$60,13,0),"")))</f>
        <v/>
      </c>
      <c r="CG23" s="177" t="str">
        <f>IF($U23="初級",VLOOKUP($BO23,参照データ!$C$47:$U$60,14,0),IF($U23="中級",VLOOKUP($BO23,参照データ!$C$47:$U$60,15,0),IF($U23="上級",VLOOKUP($BO23,参照データ!$C$47:$U$60,16,0),"")))</f>
        <v/>
      </c>
      <c r="CH23" s="55" t="str">
        <f t="shared" si="5"/>
        <v/>
      </c>
      <c r="CI23" s="55" t="str">
        <f>IF($V23="初級",VLOOKUP($BO23,参照データ!$C$47:$U$60,17,0),IF($V23="中級",VLOOKUP($BO23,参照データ!$C$47:$U$60,18,0),IF($V23="上級",VLOOKUP($BO23,参照データ!$C$47:$U$60,19,0),"")))</f>
        <v/>
      </c>
      <c r="CJ23" s="868"/>
      <c r="CK23" s="73" t="s">
        <v>247</v>
      </c>
      <c r="CL23" s="150" t="str">
        <f t="shared" si="6"/>
        <v/>
      </c>
      <c r="CM23" s="872"/>
      <c r="CO23" s="61">
        <f>IF(AND($BJ23&gt;=参照データ!$C$71,$BJ23&lt;=参照データ!$C$69),1,IF(AND($BJ23&gt;=参照データ!$C$74,$BJ23&lt;=参照データ!$C$72),2,IF(AND($BJ23&gt;=参照データ!$C$77,$BJ23&lt;=参照データ!$C$75),3,IF(AND($BJ23&gt;=参照データ!$C$80,$BJ23&lt;=参照データ!$C$78),4,IF(AND($BJ23&gt;=参照データ!$C$83,$BJ23&lt;=参照データ!$C$81),5,IF(AND($BJ23&gt;0,$BJ23&lt;=参照データ!$C$84),6,""))))))</f>
        <v>5</v>
      </c>
      <c r="CP23" s="160" t="str">
        <f>IF($Y23="オープン",(VLOOKUP($CO23,参照データ!$D$69:$J$86,2,0)),"")</f>
        <v/>
      </c>
      <c r="CQ23" s="79" t="str">
        <f t="shared" si="27"/>
        <v/>
      </c>
      <c r="CR23" s="78" t="str">
        <f>IF($AA23="オープン",(VLOOKUP($CO23,参照データ!$D$69:$J$86,3,0)),"")</f>
        <v/>
      </c>
      <c r="CS23" s="79" t="str">
        <f t="shared" si="28"/>
        <v/>
      </c>
      <c r="CT23" s="78" t="str">
        <f>IF($AC23="オープン",(VLOOKUP($CO23,参照データ!$D$69:$J$86,4,0)),"")</f>
        <v/>
      </c>
      <c r="CU23" s="79" t="str">
        <f t="shared" si="29"/>
        <v/>
      </c>
      <c r="CV23" s="78" t="str">
        <f>IF($AE23="オープン",(VLOOKUP($CO23,参照データ!$D$69:$J$86,5,0)),"")</f>
        <v/>
      </c>
      <c r="CW23" s="79" t="str">
        <f t="shared" si="7"/>
        <v/>
      </c>
      <c r="CX23" s="78" t="str">
        <f>IF($AG23="オープン",(VLOOKUP($CO23,参照データ!$D$69:$J$86,6,0)),"")</f>
        <v/>
      </c>
      <c r="CY23" s="79" t="str">
        <f t="shared" si="30"/>
        <v/>
      </c>
      <c r="CZ23" s="38" t="str">
        <f t="shared" si="31"/>
        <v/>
      </c>
      <c r="DA23" s="37" t="str">
        <f t="shared" si="32"/>
        <v/>
      </c>
      <c r="DB23" s="79" t="str">
        <f t="shared" si="33"/>
        <v/>
      </c>
      <c r="DC23" s="858"/>
      <c r="DD23" s="85" t="s">
        <v>97</v>
      </c>
      <c r="DE23" s="86" t="str">
        <f t="shared" si="34"/>
        <v/>
      </c>
      <c r="DF23" s="860"/>
      <c r="DG23" s="350" t="str">
        <f t="shared" ref="DG23" si="80">$DG22</f>
        <v/>
      </c>
      <c r="DH23" s="523">
        <f>IF(AND($BJ23&gt;=参照データ!$C$130,$BJ23&lt;=参照データ!$C$128),1,IF(AND($BJ23&gt;=参照データ!$C$133,$BJ23&lt;=参照データ!$C$131),2,IF(AND($BJ23&gt;=参照データ!$C$139,$BJ23&lt;=参照データ!$C$137),3,IF(AND($BJ23&gt;0,$BJ23&lt;=参照データ!$C$140),4,""))))</f>
        <v>1</v>
      </c>
      <c r="DI23" s="523">
        <f t="shared" si="35"/>
        <v>7</v>
      </c>
      <c r="DJ23" s="523" t="str">
        <f t="shared" si="36"/>
        <v/>
      </c>
      <c r="DK23" s="524" t="str">
        <f>IF($AN23="","",IF(AND($AN23="○",$BK23="男子"),VLOOKUP($DI23,参照データ!$D$128:$J$145,3,FALSE),VLOOKUP($DH23,参照データ!$D$128:$J$145,3,FALSE)))</f>
        <v/>
      </c>
      <c r="DL23" s="525" t="str">
        <f t="shared" si="37"/>
        <v/>
      </c>
      <c r="DM23" s="524" t="str">
        <f>IF($AP23="","",IF(AND($AP23="○",$BK23="男子"),VLOOKUP($DI23,参照データ!$D$128:$J$145,4,FALSE),VLOOKUP($DH23,参照データ!$D$128:$J$145,4,FALSE)))</f>
        <v/>
      </c>
      <c r="DN23" s="525" t="str">
        <f t="shared" si="38"/>
        <v/>
      </c>
      <c r="DO23" s="524" t="str">
        <f>IF($AR23="","",IF(AND($AR23="○",$BK23="男子"),VLOOKUP($DI23,参照データ!$D$128:$J$145,5,FALSE),VLOOKUP($DH23,参照データ!$D$128:$J$145,5,FALSE)))</f>
        <v/>
      </c>
      <c r="DP23" s="525" t="str">
        <f t="shared" si="39"/>
        <v/>
      </c>
      <c r="DQ23" s="524" t="str">
        <f>IF($AT23="","",IF(AND($AT23="○",$BK23="男子"),VLOOKUP($DI23,参照データ!$D$128:$J$145,6,FALSE),VLOOKUP($DH23,参照データ!$D$128:$J$145,6,FALSE)))</f>
        <v/>
      </c>
      <c r="DR23" s="525" t="str">
        <f t="shared" si="40"/>
        <v/>
      </c>
      <c r="DS23" s="526" t="str">
        <f t="shared" si="41"/>
        <v/>
      </c>
      <c r="DT23" s="527" t="str">
        <f t="shared" si="42"/>
        <v/>
      </c>
      <c r="DU23" s="528" t="str">
        <f t="shared" si="43"/>
        <v/>
      </c>
      <c r="DV23" s="983"/>
      <c r="DW23" s="531" t="s">
        <v>97</v>
      </c>
      <c r="DX23" s="532" t="str">
        <f t="shared" si="8"/>
        <v/>
      </c>
      <c r="DY23" s="994"/>
      <c r="DZ23" s="692" t="str">
        <f>$DZ22</f>
        <v/>
      </c>
      <c r="EA23" s="526" t="str">
        <f t="shared" si="9"/>
        <v/>
      </c>
      <c r="EB23" s="527" t="str">
        <f t="shared" si="10"/>
        <v/>
      </c>
      <c r="EC23" s="528" t="str">
        <f t="shared" si="11"/>
        <v/>
      </c>
      <c r="ED23" s="983"/>
      <c r="EE23" s="531" t="s">
        <v>97</v>
      </c>
      <c r="EF23" s="531" t="str">
        <f t="shared" si="12"/>
        <v/>
      </c>
      <c r="EG23" s="532" t="str">
        <f>IF(SUM(EF22:EF23)&lt;24,"",IF(SUM(EF22:EF23)&gt;=36,3,2))</f>
        <v/>
      </c>
      <c r="EH23" s="994"/>
      <c r="EI23" s="527" t="str">
        <f>$EI22</f>
        <v/>
      </c>
      <c r="EJ23" s="555" t="str">
        <f t="shared" si="13"/>
        <v/>
      </c>
      <c r="EK23" s="556" t="str">
        <f t="shared" si="44"/>
        <v/>
      </c>
      <c r="EL23" s="846"/>
      <c r="EM23" s="561" t="s">
        <v>765</v>
      </c>
      <c r="EN23" s="562" t="str">
        <f t="shared" si="45"/>
        <v/>
      </c>
      <c r="EO23" s="849"/>
      <c r="EP23" s="555" t="str">
        <f t="shared" si="14"/>
        <v/>
      </c>
      <c r="EQ23" s="556" t="str">
        <f t="shared" si="46"/>
        <v/>
      </c>
      <c r="ER23" s="846"/>
      <c r="ES23" s="561" t="s">
        <v>765</v>
      </c>
      <c r="ET23" s="562" t="str">
        <f t="shared" si="47"/>
        <v/>
      </c>
      <c r="EU23" s="849"/>
      <c r="EV23" s="38" t="str">
        <f t="shared" si="15"/>
        <v/>
      </c>
      <c r="EW23" s="552" t="str">
        <f t="shared" si="48"/>
        <v/>
      </c>
      <c r="EX23" s="833"/>
      <c r="EY23" s="559" t="s">
        <v>764</v>
      </c>
      <c r="EZ23" s="560" t="str">
        <f t="shared" si="49"/>
        <v/>
      </c>
      <c r="FA23" s="835"/>
      <c r="FB23" t="str">
        <f>IF($FC23="","",DATEDIF($BJ23,参照データ!$D$19,"Y"))</f>
        <v/>
      </c>
      <c r="FC23" s="298" t="str">
        <f>IFERROR(IF($BK23="男子",VLOOKUP($FJ23,参照データ!$D$92:$E$118,2,0),$FJ23),0)</f>
        <v/>
      </c>
      <c r="FD23" s="92" t="str">
        <f>IF($Y23="選手権",(VLOOKUP($FC23,参照データ!$D$92:$K$121,3,0)),"")</f>
        <v/>
      </c>
      <c r="FE23" s="93" t="str">
        <f t="shared" si="16"/>
        <v/>
      </c>
      <c r="FF23" s="92" t="str">
        <f>IF($AA23="選手権",(VLOOKUP($FC23,参照データ!$D$92:$K$121,4,0)),"")</f>
        <v/>
      </c>
      <c r="FG23" s="93" t="str">
        <f t="shared" si="17"/>
        <v/>
      </c>
      <c r="FH23" s="92" t="str">
        <f>IF($AC23="選手権",(VLOOKUP($FC23,参照データ!$D$92:$K$121,5,0)),"")</f>
        <v/>
      </c>
      <c r="FI23" s="93" t="str">
        <f t="shared" si="18"/>
        <v/>
      </c>
      <c r="FJ23" s="61" t="str">
        <f>IF(AND($BJ23&gt;=参照データ!$C$94,$BJ23&lt;=参照データ!$C$92),1,IF(AND($BJ23&gt;=参照データ!$C$97,$BJ23&lt;=参照データ!$C$95),2,IF(AND($BJ23&gt;=参照データ!$C$103,$BJ23&lt;=参照データ!$C$101),3,IF(AND($BJ23&gt;=参照データ!$C$109,$BJ23&lt;=参照データ!$C$107),4,IF(AND($BJ23&gt;=参照データ!$C$115,$BJ23&lt;=参照データ!$C$113),5,IF(AND($BJ23&gt;0,$BJ23&lt;=参照データ!$C$116),6,""))))))</f>
        <v/>
      </c>
      <c r="FK23" s="92" t="str">
        <f>IF($AE23="選手権",(VLOOKUP($FJ23,参照データ!$D$92:$K$121,6,0)),"")</f>
        <v/>
      </c>
      <c r="FL23" s="93" t="str">
        <f t="shared" si="19"/>
        <v/>
      </c>
      <c r="FM23" s="92" t="str">
        <f>IF($AG23="選手権",(VLOOKUP($FJ23,参照データ!$D$92:$K$121,7,0)),"")</f>
        <v/>
      </c>
      <c r="FN23" s="93" t="str">
        <f t="shared" si="50"/>
        <v/>
      </c>
      <c r="FO23" s="38" t="str">
        <f t="shared" si="51"/>
        <v/>
      </c>
      <c r="FP23" s="37" t="str">
        <f t="shared" si="52"/>
        <v/>
      </c>
      <c r="FQ23" s="93" t="str">
        <f t="shared" si="53"/>
        <v/>
      </c>
      <c r="FR23" s="976"/>
      <c r="FS23" s="99" t="s">
        <v>97</v>
      </c>
      <c r="FT23" s="100" t="str">
        <f t="shared" si="20"/>
        <v/>
      </c>
      <c r="FU23" s="978"/>
      <c r="FV23" s="356" t="str">
        <f t="shared" ref="FV23" si="81">$FV22</f>
        <v/>
      </c>
      <c r="FY23" s="40">
        <f>(COUNTIF($J23:$O23,"&lt;&gt;"))*参照データ!$E$3</f>
        <v>0</v>
      </c>
      <c r="FZ23" s="267" t="str">
        <f>IF($P23="○",参照データ!$E$4,"")</f>
        <v/>
      </c>
      <c r="GA23" s="19">
        <f>(SUM(COUNTIF($Q23:$U23,{"入門","初級"}))*参照データ!$E$9)+(SUM(COUNTIF($Q23:$U23,{"中級","上級"})*参照データ!$E$10))</f>
        <v>0</v>
      </c>
      <c r="GB23" s="19">
        <f>IFERROR(VLOOKUP($V23,参照データ!$D$9:$J$11,7,0),0)</f>
        <v>0</v>
      </c>
      <c r="GC23" s="19">
        <f>((COUNTIF($Y23:$AG23,"オープン"))*参照データ!$E$12)</f>
        <v>0</v>
      </c>
      <c r="GD23" s="19" t="str">
        <f>(IF($AI23="オープン",参照データ!$J$12,""))</f>
        <v/>
      </c>
      <c r="GE23" s="19">
        <f>(COUNTIF($AN23:$AU23,"○")*参照データ!$E$22)</f>
        <v>0</v>
      </c>
      <c r="GF23" s="19">
        <f>(COUNTIF($AV23:$BA23,"○")*参照データ!$I$22)</f>
        <v>0</v>
      </c>
      <c r="GI23" s="19">
        <f>((COUNTIF($Y23:$AG23,"選手権"))*参照データ!$E$13)</f>
        <v>0</v>
      </c>
      <c r="GJ23" s="19" t="str">
        <f>(IF($AI23="選手権",参照データ!$J$13,""))</f>
        <v/>
      </c>
      <c r="GK23" s="106">
        <f t="array" ref="GK23">SUM(IF(ISERROR(FY23:GJ23),0,(FY23:GJ23)))</f>
        <v>0</v>
      </c>
      <c r="GL23" s="19"/>
      <c r="GM23" s="19">
        <f t="shared" si="54"/>
        <v>0</v>
      </c>
      <c r="GN23" s="19">
        <f t="shared" si="55"/>
        <v>0</v>
      </c>
      <c r="GO23" s="19">
        <f t="shared" si="56"/>
        <v>0</v>
      </c>
      <c r="GP23" s="19">
        <f t="shared" si="21"/>
        <v>0</v>
      </c>
      <c r="GQ23" s="19">
        <f t="shared" si="57"/>
        <v>0</v>
      </c>
      <c r="GR23" s="19">
        <f t="shared" si="58"/>
        <v>0</v>
      </c>
      <c r="GS23" s="19">
        <f t="shared" si="59"/>
        <v>0</v>
      </c>
      <c r="GT23" s="19">
        <f t="shared" si="60"/>
        <v>0</v>
      </c>
      <c r="GU23" s="19">
        <f t="shared" si="61"/>
        <v>0</v>
      </c>
      <c r="GV23" t="str">
        <f t="shared" si="22"/>
        <v/>
      </c>
      <c r="GW23" t="str">
        <f t="shared" si="62"/>
        <v/>
      </c>
      <c r="GX23" t="str">
        <f t="shared" si="23"/>
        <v/>
      </c>
      <c r="GY23" t="str">
        <f t="shared" si="63"/>
        <v/>
      </c>
      <c r="GZ23" t="str">
        <f t="shared" si="24"/>
        <v/>
      </c>
    </row>
    <row r="24" spans="1:208" ht="18.75" customHeight="1" x14ac:dyDescent="0.15">
      <c r="A24">
        <v>13</v>
      </c>
      <c r="B24" s="15" t="str">
        <f>IF(D24="","",IF(D24="重複","",COUNTIF(B$12:$B23,"&gt;0")+1))</f>
        <v/>
      </c>
      <c r="C24" s="713"/>
      <c r="D24" s="185"/>
      <c r="E24" s="185"/>
      <c r="F24" s="36"/>
      <c r="G24" s="47"/>
      <c r="H24" s="402">
        <f t="shared" si="2"/>
        <v>0</v>
      </c>
      <c r="I24" s="201" t="str">
        <f>IF($BJ24=0,"",DATEDIF($BJ24,参照データ!$D$16,"Y"))</f>
        <v/>
      </c>
      <c r="J24" s="41"/>
      <c r="K24" s="41"/>
      <c r="L24" s="41"/>
      <c r="M24" s="41"/>
      <c r="N24" s="41"/>
      <c r="O24" s="49"/>
      <c r="P24" s="395"/>
      <c r="Q24" s="51"/>
      <c r="R24" s="289"/>
      <c r="S24" s="289"/>
      <c r="T24" s="289"/>
      <c r="U24" s="290"/>
      <c r="V24" s="292"/>
      <c r="W24" s="295"/>
      <c r="Y24" s="446"/>
      <c r="Z24" s="396" t="str">
        <f>IF($Y24="オープン",VLOOKUP($CO24,参照データ!$D$69:$M$86,9,0),IF($Y24="選手権",VLOOKUP($FC24,参照データ!$D$92:$O$121,10,0),""))</f>
        <v/>
      </c>
      <c r="AA24" s="446"/>
      <c r="AB24" s="666" t="str">
        <f>IF($AA24="オープン",VLOOKUP($CO24,参照データ!$D$69:$M$86,10,0),IF($AA24="選手権",VLOOKUP($FC24,参照データ!$D$92:$O$121,11,0),""))</f>
        <v/>
      </c>
      <c r="AC24" s="669"/>
      <c r="AD24" s="396" t="str">
        <f>IF($AC24="オープン",VLOOKUP($CO24,参照データ!$D$69:$M$86,10,0),IF($AC24="選手権",VLOOKUP($FC24,参照データ!$D$92:$O$121,11,0),""))</f>
        <v/>
      </c>
      <c r="AE24" s="446"/>
      <c r="AF24" s="396" t="str">
        <f>IF($AE24="オープン",VLOOKUP($CO24,参照データ!$D$69:$M$86,10,0),IF($AE24="選手権",VLOOKUP($FJ24,参照データ!$D$92:$O$121,12,0),""))</f>
        <v/>
      </c>
      <c r="AG24" s="446"/>
      <c r="AH24" s="396" t="str">
        <f>IF($AG24="オープン",VLOOKUP($CO24,参照データ!$D$69:$M$86,10,0),IF($AG24="選手権",VLOOKUP($FJ24,参照データ!$D$92:$O$121,12,0),""))</f>
        <v/>
      </c>
      <c r="AI24" s="446"/>
      <c r="AJ24" s="449"/>
      <c r="AK24" s="396" t="str">
        <f t="shared" si="3"/>
        <v/>
      </c>
      <c r="AL24" s="587"/>
      <c r="AM24" s="588" t="str">
        <f>IF($BJ24=0,"",DATEDIF($BJ24,参照データ!$D$17,"Y"))</f>
        <v/>
      </c>
      <c r="AN24" s="450"/>
      <c r="AO24" s="591" t="str">
        <f>IF(AN24="","",IF($BK24="男子",VLOOKUP($DI24,参照データ!$D$128:$M$145,10,FALSE),VLOOKUP($DH24,参照データ!$D$128:$M$145,10,FALSE)))</f>
        <v/>
      </c>
      <c r="AP24" s="450"/>
      <c r="AQ24" s="591" t="str">
        <f>IF(AP24="","",IF($BK24="男子",VLOOKUP($DI24,参照データ!$D$128:$M$145,10,FALSE),VLOOKUP($DH24,参照データ!$D$128:$M$145,10,FALSE)))</f>
        <v/>
      </c>
      <c r="AR24" s="450"/>
      <c r="AS24" s="591" t="str">
        <f>IF(AR24="","",IF($BK24="男子",VLOOKUP($DI24,参照データ!$D$128:$M$145,10,FALSE),VLOOKUP($DH24,参照データ!$D$128:$M$145,10,FALSE)))</f>
        <v/>
      </c>
      <c r="AT24" s="450"/>
      <c r="AU24" s="591" t="str">
        <f>IF(AT24="","",IF($BK24="男子",VLOOKUP($DI24,参照データ!$D$128:$M$145,10,FALSE),VLOOKUP($DH24,参照データ!$D$128:$M$145,10,FALSE)))</f>
        <v/>
      </c>
      <c r="AV24" s="448"/>
      <c r="AW24" s="448"/>
      <c r="AX24" s="585" t="str">
        <f t="shared" si="25"/>
        <v/>
      </c>
      <c r="AY24" s="448"/>
      <c r="AZ24" s="448"/>
      <c r="BA24" s="688" t="str">
        <f>IF($AY24="○",VLOOKUP($AZ24,$EA:$EB,2,0),"")</f>
        <v/>
      </c>
      <c r="BB24" s="677"/>
      <c r="BC24" s="724"/>
      <c r="BD24" s="640"/>
      <c r="BE24" s="623"/>
      <c r="BF24" s="365"/>
      <c r="BG24" s="366"/>
      <c r="BJ24">
        <f t="shared" si="75"/>
        <v>0</v>
      </c>
      <c r="BK24" t="str">
        <f t="shared" si="65"/>
        <v/>
      </c>
      <c r="BL24" s="146"/>
      <c r="BO24" s="61" t="str">
        <f>IF($BJ24=0,"",IF(AND($I24&gt;=6,$I24&lt;=19),VLOOKUP($I24,参照データ!$B$28:$C$41,2,0),IF($I24&lt;6,6,19)))</f>
        <v/>
      </c>
      <c r="BP24" s="178" t="str">
        <f>IF($J24=$BI$12,VLOOKUP($BO24,参照データ!$C$28:$I$41,2,0),"")</f>
        <v/>
      </c>
      <c r="BQ24" s="169" t="str">
        <f>IF($K24=$BI$12,VLOOKUP($BO24,参照データ!$C$28:$I$41,3,0),"")</f>
        <v/>
      </c>
      <c r="BR24" s="169" t="str">
        <f>IF($L24=$BI$12,VLOOKUP($BO24,参照データ!$C$28:$I$41,4,0),"")</f>
        <v/>
      </c>
      <c r="BS24" s="169" t="str">
        <f>IF($M24=$BI$12,VLOOKUP($BO24,参照データ!$C$28:$I$41,5,0),"")</f>
        <v/>
      </c>
      <c r="BT24" s="169" t="str">
        <f>IF($N24=$BI$12,VLOOKUP($BO24,参照データ!$C$28:$I$41,6,0),"")</f>
        <v/>
      </c>
      <c r="BU24" s="179" t="str">
        <f>IF($O24=$BI$12,VLOOKUP($BO24,参照データ!$C$28:$I$41,7,0),"")</f>
        <v/>
      </c>
      <c r="BV24" s="178" t="str">
        <f>IF($J24=$BI$13,VLOOKUP($BO24,参照データ!$C$28:$I$41,2,0),"")</f>
        <v/>
      </c>
      <c r="BW24" s="169" t="str">
        <f>IF($K24=$BI$13,VLOOKUP($BO24,参照データ!$C$28:$I$41,3,0),"")</f>
        <v/>
      </c>
      <c r="BX24" s="169" t="str">
        <f>IF($L24=$BI$13,VLOOKUP($BO24,参照データ!$C$28:$I$41,4,0),"")</f>
        <v/>
      </c>
      <c r="BY24" s="169" t="str">
        <f>IF($M24=$BI$13,VLOOKUP($BO24,参照データ!$C$28:$I$41,5,0),"")</f>
        <v/>
      </c>
      <c r="BZ24" s="169" t="str">
        <f>IF($N24=$BI$13,VLOOKUP($BO24,参照データ!$C$28:$I$41,6,0),"")</f>
        <v/>
      </c>
      <c r="CA24" s="179" t="str">
        <f>IF($O24=$BI$13,VLOOKUP($BO24,参照データ!$C$28:$I$41,7,0),"")</f>
        <v/>
      </c>
      <c r="CB24" s="271" t="str">
        <f t="shared" si="26"/>
        <v/>
      </c>
      <c r="CC24" s="177" t="str">
        <f>IF($Q24="入門",VLOOKUP($BO24,参照データ!$C$47:$U$60,2,0),IF($Q24="初級",VLOOKUP($BO24,参照データ!$C$47:$U$60,3,0),IF($Q24="中級",VLOOKUP($BO24,参照データ!$C$47:$U$60,4,0),IF($Q24="上級",VLOOKUP($BO24,参照データ!$C$47:$U$60,5,0),""))))</f>
        <v/>
      </c>
      <c r="CD24" s="177" t="str">
        <f>IF($R24="初級",VLOOKUP($BO24,参照データ!$C$47:$U$60,6,0),IF($R24="中級",VLOOKUP($BO24,参照データ!$C$47:$U$60,7,0),IF($R24="上級",VLOOKUP($BO24,参照データ!$C$47:$U$60,8,0),"")))</f>
        <v/>
      </c>
      <c r="CE24" s="177" t="str">
        <f>IF($S24="初級",VLOOKUP($BO24,参照データ!$C$47:$U$60,9,0),IF($S24="上級",VLOOKUP($BO24,参照データ!$C$47:$U$60,10,0),""))</f>
        <v/>
      </c>
      <c r="CF24" s="177" t="str">
        <f>IF($T24="初級",VLOOKUP($BO24,参照データ!$C$47:$U$60,11,0),IF($T24="中級",VLOOKUP($BO24,参照データ!$C$47:$U$60,12,0),IF($T24="上級",VLOOKUP($BO24,参照データ!$C$47:$U$60,13,0),"")))</f>
        <v/>
      </c>
      <c r="CG24" s="177" t="str">
        <f>IF($U24="初級",VLOOKUP($BO24,参照データ!$C$47:$U$60,14,0),IF($U24="中級",VLOOKUP($BO24,参照データ!$C$47:$U$60,15,0),IF($U24="上級",VLOOKUP($BO24,参照データ!$C$47:$U$60,16,0),"")))</f>
        <v/>
      </c>
      <c r="CH24" s="55" t="str">
        <f t="shared" si="5"/>
        <v/>
      </c>
      <c r="CI24" s="55" t="str">
        <f>IF($V24="初級",VLOOKUP($BO24,参照データ!$C$47:$U$60,17,0),IF($V24="中級",VLOOKUP($BO24,参照データ!$C$47:$U$60,18,0),IF($V24="上級",VLOOKUP($BO24,参照データ!$C$47:$U$60,19,0),"")))</f>
        <v/>
      </c>
      <c r="CJ24" s="867">
        <v>7</v>
      </c>
      <c r="CK24" s="74" t="s">
        <v>248</v>
      </c>
      <c r="CL24" s="151" t="str">
        <f t="shared" si="6"/>
        <v/>
      </c>
      <c r="CM24" s="871" t="str">
        <f t="shared" ref="CM24" si="82">IF(OR($CL24="",$CL25=""),"",IF($CL24&gt;$CL25,$CL24,$CL25))</f>
        <v/>
      </c>
      <c r="CO24" s="61">
        <f>IF(AND($BJ24&gt;=参照データ!$C$71,$BJ24&lt;=参照データ!$C$69),1,IF(AND($BJ24&gt;=参照データ!$C$74,$BJ24&lt;=参照データ!$C$72),2,IF(AND($BJ24&gt;=参照データ!$C$77,$BJ24&lt;=参照データ!$C$75),3,IF(AND($BJ24&gt;=参照データ!$C$80,$BJ24&lt;=参照データ!$C$78),4,IF(AND($BJ24&gt;=参照データ!$C$83,$BJ24&lt;=参照データ!$C$81),5,IF(AND($BJ24&gt;0,$BJ24&lt;=参照データ!$C$84),6,""))))))</f>
        <v>5</v>
      </c>
      <c r="CP24" s="160" t="str">
        <f>IF($Y24="オープン",(VLOOKUP($CO24,参照データ!$D$69:$J$86,2,0)),"")</f>
        <v/>
      </c>
      <c r="CQ24" s="79" t="str">
        <f t="shared" si="27"/>
        <v/>
      </c>
      <c r="CR24" s="78" t="str">
        <f>IF($AA24="オープン",(VLOOKUP($CO24,参照データ!$D$69:$J$86,3,0)),"")</f>
        <v/>
      </c>
      <c r="CS24" s="79" t="str">
        <f t="shared" si="28"/>
        <v/>
      </c>
      <c r="CT24" s="78" t="str">
        <f>IF($AC24="オープン",(VLOOKUP($CO24,参照データ!$D$69:$J$86,4,0)),"")</f>
        <v/>
      </c>
      <c r="CU24" s="79" t="str">
        <f t="shared" si="29"/>
        <v/>
      </c>
      <c r="CV24" s="78" t="str">
        <f>IF($AE24="オープン",(VLOOKUP($CO24,参照データ!$D$69:$J$86,5,0)),"")</f>
        <v/>
      </c>
      <c r="CW24" s="79" t="str">
        <f t="shared" si="7"/>
        <v/>
      </c>
      <c r="CX24" s="78" t="str">
        <f>IF($AG24="オープン",(VLOOKUP($CO24,参照データ!$D$69:$J$86,6,0)),"")</f>
        <v/>
      </c>
      <c r="CY24" s="79" t="str">
        <f t="shared" si="30"/>
        <v/>
      </c>
      <c r="CZ24" s="38" t="str">
        <f t="shared" si="31"/>
        <v/>
      </c>
      <c r="DA24" s="37" t="str">
        <f t="shared" si="32"/>
        <v/>
      </c>
      <c r="DB24" s="79" t="str">
        <f t="shared" si="33"/>
        <v/>
      </c>
      <c r="DC24" s="857">
        <v>7</v>
      </c>
      <c r="DD24" s="87" t="s">
        <v>98</v>
      </c>
      <c r="DE24" s="88" t="str">
        <f t="shared" si="34"/>
        <v/>
      </c>
      <c r="DF24" s="859" t="e">
        <f>IF($DE24&gt;$DE25,VLOOKUP($DE24,参照データ!$D$69:$J$86,7,0),VLOOKUP($DE25,参照データ!$D$69:$J$86,7,0))</f>
        <v>#N/A</v>
      </c>
      <c r="DG24" s="350" t="str">
        <f>IFERROR(VLOOKUP($DF24,参照データ!$J$69:$M$86,4,0),"")</f>
        <v/>
      </c>
      <c r="DH24" s="523">
        <f>IF(AND($BJ24&gt;=参照データ!$C$130,$BJ24&lt;=参照データ!$C$128),1,IF(AND($BJ24&gt;=参照データ!$C$133,$BJ24&lt;=参照データ!$C$131),2,IF(AND($BJ24&gt;=参照データ!$C$139,$BJ24&lt;=参照データ!$C$137),3,IF(AND($BJ24&gt;0,$BJ24&lt;=参照データ!$C$140),4,""))))</f>
        <v>1</v>
      </c>
      <c r="DI24" s="523">
        <f t="shared" si="35"/>
        <v>7</v>
      </c>
      <c r="DJ24" s="523" t="str">
        <f t="shared" si="36"/>
        <v/>
      </c>
      <c r="DK24" s="524" t="str">
        <f>IF($AN24="","",IF(AND($AN24="○",$BK24="男子"),VLOOKUP($DI24,参照データ!$D$128:$J$145,3,FALSE),VLOOKUP($DH24,参照データ!$D$128:$J$145,3,FALSE)))</f>
        <v/>
      </c>
      <c r="DL24" s="525" t="str">
        <f t="shared" si="37"/>
        <v/>
      </c>
      <c r="DM24" s="524" t="str">
        <f>IF($AP24="","",IF(AND($AP24="○",$BK24="男子"),VLOOKUP($DI24,参照データ!$D$128:$J$145,4,FALSE),VLOOKUP($DH24,参照データ!$D$128:$J$145,4,FALSE)))</f>
        <v/>
      </c>
      <c r="DN24" s="525" t="str">
        <f t="shared" si="38"/>
        <v/>
      </c>
      <c r="DO24" s="524" t="str">
        <f>IF($AR24="","",IF(AND($AR24="○",$BK24="男子"),VLOOKUP($DI24,参照データ!$D$128:$J$145,5,FALSE),VLOOKUP($DH24,参照データ!$D$128:$J$145,5,FALSE)))</f>
        <v/>
      </c>
      <c r="DP24" s="525" t="str">
        <f t="shared" si="39"/>
        <v/>
      </c>
      <c r="DQ24" s="524" t="str">
        <f>IF($AT24="","",IF(AND($AT24="○",$BK24="男子"),VLOOKUP($DI24,参照データ!$D$128:$J$145,6,FALSE),VLOOKUP($DH24,参照データ!$D$128:$J$145,6,FALSE)))</f>
        <v/>
      </c>
      <c r="DR24" s="525" t="str">
        <f t="shared" si="40"/>
        <v/>
      </c>
      <c r="DS24" s="526" t="str">
        <f t="shared" si="41"/>
        <v/>
      </c>
      <c r="DT24" s="527" t="str">
        <f t="shared" si="42"/>
        <v/>
      </c>
      <c r="DU24" s="528" t="str">
        <f t="shared" si="43"/>
        <v/>
      </c>
      <c r="DV24" s="982">
        <v>7</v>
      </c>
      <c r="DW24" s="533" t="s">
        <v>98</v>
      </c>
      <c r="DX24" s="534" t="str">
        <f t="shared" si="8"/>
        <v/>
      </c>
      <c r="DY24" s="877" t="e">
        <f>IF($DX24&gt;$DX25,VLOOKUP($DX24,参照データ!$D$128:$K$145,7,0),VLOOKUP($DX25,参照データ!$D$128:$K$145,7,0))</f>
        <v>#N/A</v>
      </c>
      <c r="DZ24" s="692" t="str">
        <f>IFERROR(VLOOKUP($DY24,参照データ!$J$128:$N$145,5,0),"")</f>
        <v/>
      </c>
      <c r="EA24" s="526" t="str">
        <f>IF($AY24="○",$AZ24,"")</f>
        <v/>
      </c>
      <c r="EB24" s="527" t="str">
        <f>IFERROR(VLOOKUP($EA24,$EE:$EI,5,0),"")</f>
        <v/>
      </c>
      <c r="EC24" s="528" t="str">
        <f>IF($EI24="","","DT")</f>
        <v/>
      </c>
      <c r="ED24" s="982">
        <v>7</v>
      </c>
      <c r="EE24" s="533" t="s">
        <v>98</v>
      </c>
      <c r="EF24" s="693" t="str">
        <f>IFERROR(INDEX($AM:$AM,MATCH($EE24,$EA:$EA,0)),"")</f>
        <v/>
      </c>
      <c r="EG24" s="534" t="str">
        <f>IF(SUM(EF24:EF25)&lt;24,"",IF(SUM(EF24:EF25)&gt;=36,3,2))</f>
        <v/>
      </c>
      <c r="EH24" s="877" t="e">
        <f>IF($EG24&gt;$EG25,VLOOKUP($EG24,参照データ!$D$128:$K$145,8,0),VLOOKUP($EG25,参照データ!$D$128:$K$145,8,0))</f>
        <v>#N/A</v>
      </c>
      <c r="EI24" s="527" t="str">
        <f>IFERROR(VLOOKUP($EH24,参照データ!$K$128:$N$145,4,0),"")</f>
        <v/>
      </c>
      <c r="EJ24" s="555" t="str">
        <f t="shared" si="13"/>
        <v/>
      </c>
      <c r="EK24" s="556" t="str">
        <f t="shared" si="44"/>
        <v/>
      </c>
      <c r="EL24" s="846"/>
      <c r="EM24" s="561" t="s">
        <v>767</v>
      </c>
      <c r="EN24" s="562" t="str">
        <f t="shared" si="45"/>
        <v/>
      </c>
      <c r="EO24" s="849"/>
      <c r="EP24" s="555" t="str">
        <f t="shared" si="14"/>
        <v/>
      </c>
      <c r="EQ24" s="556" t="str">
        <f t="shared" si="46"/>
        <v/>
      </c>
      <c r="ER24" s="846"/>
      <c r="ES24" s="561" t="s">
        <v>767</v>
      </c>
      <c r="ET24" s="562" t="str">
        <f t="shared" si="47"/>
        <v/>
      </c>
      <c r="EU24" s="849"/>
      <c r="EV24" s="38" t="str">
        <f t="shared" si="15"/>
        <v/>
      </c>
      <c r="EW24" s="552" t="str">
        <f t="shared" si="48"/>
        <v/>
      </c>
      <c r="EX24" s="833"/>
      <c r="EY24" s="559" t="s">
        <v>766</v>
      </c>
      <c r="EZ24" s="560" t="str">
        <f t="shared" si="49"/>
        <v/>
      </c>
      <c r="FA24" s="835"/>
      <c r="FB24" t="str">
        <f>IF($FC24="","",DATEDIF($BJ24,参照データ!$D$19,"Y"))</f>
        <v/>
      </c>
      <c r="FC24" s="298" t="str">
        <f>IFERROR(IF($BK24="男子",VLOOKUP($FJ24,参照データ!$D$92:$E$118,2,0),$FJ24),0)</f>
        <v/>
      </c>
      <c r="FD24" s="92" t="str">
        <f>IF($Y24="選手権",(VLOOKUP($FC24,参照データ!$D$92:$K$121,3,0)),"")</f>
        <v/>
      </c>
      <c r="FE24" s="93" t="str">
        <f t="shared" si="16"/>
        <v/>
      </c>
      <c r="FF24" s="92" t="str">
        <f>IF($AA24="選手権",(VLOOKUP($FC24,参照データ!$D$92:$K$121,4,0)),"")</f>
        <v/>
      </c>
      <c r="FG24" s="93" t="str">
        <f t="shared" si="17"/>
        <v/>
      </c>
      <c r="FH24" s="92" t="str">
        <f>IF($AC24="選手権",(VLOOKUP($FC24,参照データ!$D$92:$K$121,5,0)),"")</f>
        <v/>
      </c>
      <c r="FI24" s="93" t="str">
        <f t="shared" si="18"/>
        <v/>
      </c>
      <c r="FJ24" s="61" t="str">
        <f>IF(AND($BJ24&gt;=参照データ!$C$94,$BJ24&lt;=参照データ!$C$92),1,IF(AND($BJ24&gt;=参照データ!$C$97,$BJ24&lt;=参照データ!$C$95),2,IF(AND($BJ24&gt;=参照データ!$C$103,$BJ24&lt;=参照データ!$C$101),3,IF(AND($BJ24&gt;=参照データ!$C$109,$BJ24&lt;=参照データ!$C$107),4,IF(AND($BJ24&gt;=参照データ!$C$115,$BJ24&lt;=参照データ!$C$113),5,IF(AND($BJ24&gt;0,$BJ24&lt;=参照データ!$C$116),6,""))))))</f>
        <v/>
      </c>
      <c r="FK24" s="92" t="str">
        <f>IF($AE24="選手権",(VLOOKUP($FJ24,参照データ!$D$92:$K$121,6,0)),"")</f>
        <v/>
      </c>
      <c r="FL24" s="93" t="str">
        <f t="shared" si="19"/>
        <v/>
      </c>
      <c r="FM24" s="92" t="str">
        <f>IF($AG24="選手権",(VLOOKUP($FJ24,参照データ!$D$92:$K$121,7,0)),"")</f>
        <v/>
      </c>
      <c r="FN24" s="93" t="str">
        <f t="shared" si="50"/>
        <v/>
      </c>
      <c r="FO24" s="38" t="str">
        <f t="shared" si="51"/>
        <v/>
      </c>
      <c r="FP24" s="37" t="str">
        <f t="shared" si="52"/>
        <v/>
      </c>
      <c r="FQ24" s="93" t="str">
        <f t="shared" si="53"/>
        <v/>
      </c>
      <c r="FR24" s="979">
        <v>7</v>
      </c>
      <c r="FS24" s="101" t="s">
        <v>98</v>
      </c>
      <c r="FT24" s="102" t="str">
        <f t="shared" si="20"/>
        <v/>
      </c>
      <c r="FU24" s="980" t="e">
        <f>IF($FT24&gt;$FT25,VLOOKUP($FT24,参照データ!$D$92:$K$121,8,0),VLOOKUP($FT25,参照データ!$D$92:$K$121,8,0))</f>
        <v>#N/A</v>
      </c>
      <c r="FV24" s="356" t="str">
        <f>IFERROR(VLOOKUP($FU24,参照データ!$K$92:$O$121,5,0),"")</f>
        <v/>
      </c>
      <c r="FY24" s="40">
        <f>(COUNTIF($J24:$O24,"&lt;&gt;"))*参照データ!$E$3</f>
        <v>0</v>
      </c>
      <c r="FZ24" s="267" t="str">
        <f>IF($P24="○",参照データ!$E$4,"")</f>
        <v/>
      </c>
      <c r="GA24" s="19">
        <f>(SUM(COUNTIF($Q24:$U24,{"入門","初級"}))*参照データ!$E$9)+(SUM(COUNTIF($Q24:$U24,{"中級","上級"})*参照データ!$E$10))</f>
        <v>0</v>
      </c>
      <c r="GB24" s="19">
        <f>IFERROR(VLOOKUP($V24,参照データ!$D$9:$J$11,7,0),0)</f>
        <v>0</v>
      </c>
      <c r="GC24" s="19">
        <f>((COUNTIF($Y24:$AG24,"オープン"))*参照データ!$E$12)</f>
        <v>0</v>
      </c>
      <c r="GD24" s="19" t="str">
        <f>(IF($AI24="オープン",参照データ!$J$12,""))</f>
        <v/>
      </c>
      <c r="GE24" s="19">
        <f>(COUNTIF($AN24:$AU24,"○")*参照データ!$E$22)</f>
        <v>0</v>
      </c>
      <c r="GF24" s="19">
        <f>(COUNTIF($AV24:$BA24,"○")*参照データ!$I$22)</f>
        <v>0</v>
      </c>
      <c r="GI24" s="19">
        <f>((COUNTIF($Y24:$AG24,"選手権"))*参照データ!$E$13)</f>
        <v>0</v>
      </c>
      <c r="GJ24" s="19" t="str">
        <f>(IF($AI24="選手権",参照データ!$J$13,""))</f>
        <v/>
      </c>
      <c r="GK24" s="106">
        <f t="array" ref="GK24">SUM(IF(ISERROR(FY24:GJ24),0,(FY24:GJ24)))</f>
        <v>0</v>
      </c>
      <c r="GL24" s="19"/>
      <c r="GM24" s="19">
        <f t="shared" si="54"/>
        <v>0</v>
      </c>
      <c r="GN24" s="19">
        <f t="shared" si="55"/>
        <v>0</v>
      </c>
      <c r="GO24" s="19">
        <f t="shared" si="56"/>
        <v>0</v>
      </c>
      <c r="GP24" s="19">
        <f t="shared" si="21"/>
        <v>0</v>
      </c>
      <c r="GQ24" s="19">
        <f t="shared" si="57"/>
        <v>0</v>
      </c>
      <c r="GR24" s="19">
        <f t="shared" si="58"/>
        <v>0</v>
      </c>
      <c r="GS24" s="19">
        <f t="shared" si="59"/>
        <v>0</v>
      </c>
      <c r="GT24" s="19">
        <f t="shared" si="60"/>
        <v>0</v>
      </c>
      <c r="GU24" s="19">
        <f t="shared" si="61"/>
        <v>0</v>
      </c>
      <c r="GV24" t="str">
        <f t="shared" si="22"/>
        <v/>
      </c>
      <c r="GW24" t="str">
        <f t="shared" si="62"/>
        <v/>
      </c>
      <c r="GX24" t="str">
        <f t="shared" si="23"/>
        <v/>
      </c>
      <c r="GY24" t="str">
        <f t="shared" si="63"/>
        <v/>
      </c>
      <c r="GZ24" t="str">
        <f t="shared" si="24"/>
        <v/>
      </c>
    </row>
    <row r="25" spans="1:208" ht="18.75" customHeight="1" x14ac:dyDescent="0.15">
      <c r="A25">
        <v>14</v>
      </c>
      <c r="B25" s="15" t="str">
        <f>IF(D25="","",IF(D25="重複","",COUNTIF(B$12:$B24,"&gt;0")+1))</f>
        <v/>
      </c>
      <c r="C25" s="713"/>
      <c r="D25" s="185"/>
      <c r="E25" s="185"/>
      <c r="F25" s="36"/>
      <c r="G25" s="47"/>
      <c r="H25" s="402">
        <f t="shared" si="2"/>
        <v>0</v>
      </c>
      <c r="I25" s="201" t="str">
        <f>IF($BJ25=0,"",DATEDIF($BJ25,参照データ!$D$16,"Y"))</f>
        <v/>
      </c>
      <c r="J25" s="41"/>
      <c r="K25" s="41"/>
      <c r="L25" s="41"/>
      <c r="M25" s="41"/>
      <c r="N25" s="41"/>
      <c r="O25" s="49"/>
      <c r="P25" s="395"/>
      <c r="Q25" s="51"/>
      <c r="R25" s="289"/>
      <c r="S25" s="289"/>
      <c r="T25" s="289"/>
      <c r="U25" s="290"/>
      <c r="V25" s="292"/>
      <c r="W25" s="295"/>
      <c r="Y25" s="446"/>
      <c r="Z25" s="396" t="str">
        <f>IF($Y25="オープン",VLOOKUP($CO25,参照データ!$D$69:$M$86,9,0),IF($Y25="選手権",VLOOKUP($FC25,参照データ!$D$92:$O$121,10,0),""))</f>
        <v/>
      </c>
      <c r="AA25" s="446"/>
      <c r="AB25" s="666" t="str">
        <f>IF($AA25="オープン",VLOOKUP($CO25,参照データ!$D$69:$M$86,10,0),IF($AA25="選手権",VLOOKUP($FC25,参照データ!$D$92:$O$121,11,0),""))</f>
        <v/>
      </c>
      <c r="AC25" s="669"/>
      <c r="AD25" s="396" t="str">
        <f>IF($AC25="オープン",VLOOKUP($CO25,参照データ!$D$69:$M$86,10,0),IF($AC25="選手権",VLOOKUP($FC25,参照データ!$D$92:$O$121,11,0),""))</f>
        <v/>
      </c>
      <c r="AE25" s="446"/>
      <c r="AF25" s="396" t="str">
        <f>IF($AE25="オープン",VLOOKUP($CO25,参照データ!$D$69:$M$86,10,0),IF($AE25="選手権",VLOOKUP($FJ25,参照データ!$D$92:$O$121,12,0),""))</f>
        <v/>
      </c>
      <c r="AG25" s="446"/>
      <c r="AH25" s="396" t="str">
        <f>IF($AG25="オープン",VLOOKUP($CO25,参照データ!$D$69:$M$86,10,0),IF($AG25="選手権",VLOOKUP($FJ25,参照データ!$D$92:$O$121,12,0),""))</f>
        <v/>
      </c>
      <c r="AI25" s="446"/>
      <c r="AJ25" s="449"/>
      <c r="AK25" s="396" t="str">
        <f t="shared" si="3"/>
        <v/>
      </c>
      <c r="AL25" s="587"/>
      <c r="AM25" s="588" t="str">
        <f>IF($BJ25=0,"",DATEDIF($BJ25,参照データ!$D$17,"Y"))</f>
        <v/>
      </c>
      <c r="AN25" s="450"/>
      <c r="AO25" s="591" t="str">
        <f>IF(AN25="","",IF($BK25="男子",VLOOKUP($DI25,参照データ!$D$128:$M$145,10,FALSE),VLOOKUP($DH25,参照データ!$D$128:$M$145,10,FALSE)))</f>
        <v/>
      </c>
      <c r="AP25" s="450"/>
      <c r="AQ25" s="591" t="str">
        <f>IF(AP25="","",IF($BK25="男子",VLOOKUP($DI25,参照データ!$D$128:$M$145,10,FALSE),VLOOKUP($DH25,参照データ!$D$128:$M$145,10,FALSE)))</f>
        <v/>
      </c>
      <c r="AR25" s="450"/>
      <c r="AS25" s="591" t="str">
        <f>IF(AR25="","",IF($BK25="男子",VLOOKUP($DI25,参照データ!$D$128:$M$145,10,FALSE),VLOOKUP($DH25,参照データ!$D$128:$M$145,10,FALSE)))</f>
        <v/>
      </c>
      <c r="AT25" s="450"/>
      <c r="AU25" s="591" t="str">
        <f>IF(AT25="","",IF($BK25="男子",VLOOKUP($DI25,参照データ!$D$128:$M$145,10,FALSE),VLOOKUP($DH25,参照データ!$D$128:$M$145,10,FALSE)))</f>
        <v/>
      </c>
      <c r="AV25" s="448"/>
      <c r="AW25" s="448"/>
      <c r="AX25" s="585" t="str">
        <f t="shared" si="25"/>
        <v/>
      </c>
      <c r="AY25" s="448"/>
      <c r="AZ25" s="448"/>
      <c r="BA25" s="585" t="str">
        <f t="shared" ref="BA25:BA71" si="83">IF($AY25="○",VLOOKUP($AZ25,$EA:$EB,2,0),"")</f>
        <v/>
      </c>
      <c r="BB25" s="677"/>
      <c r="BC25" s="724"/>
      <c r="BD25" s="640"/>
      <c r="BE25" s="623"/>
      <c r="BF25" s="365"/>
      <c r="BG25" s="366"/>
      <c r="BJ25">
        <f t="shared" si="75"/>
        <v>0</v>
      </c>
      <c r="BK25" t="str">
        <f t="shared" si="65"/>
        <v/>
      </c>
      <c r="BL25" s="146"/>
      <c r="BO25" s="61" t="str">
        <f>IF($BJ25=0,"",IF(AND($I25&gt;=6,$I25&lt;=19),VLOOKUP($I25,参照データ!$B$28:$C$41,2,0),IF($I25&lt;6,6,19)))</f>
        <v/>
      </c>
      <c r="BP25" s="178" t="str">
        <f>IF($J25=$BI$12,VLOOKUP($BO25,参照データ!$C$28:$I$41,2,0),"")</f>
        <v/>
      </c>
      <c r="BQ25" s="169" t="str">
        <f>IF($K25=$BI$12,VLOOKUP($BO25,参照データ!$C$28:$I$41,3,0),"")</f>
        <v/>
      </c>
      <c r="BR25" s="169" t="str">
        <f>IF($L25=$BI$12,VLOOKUP($BO25,参照データ!$C$28:$I$41,4,0),"")</f>
        <v/>
      </c>
      <c r="BS25" s="169" t="str">
        <f>IF($M25=$BI$12,VLOOKUP($BO25,参照データ!$C$28:$I$41,5,0),"")</f>
        <v/>
      </c>
      <c r="BT25" s="169" t="str">
        <f>IF($N25=$BI$12,VLOOKUP($BO25,参照データ!$C$28:$I$41,6,0),"")</f>
        <v/>
      </c>
      <c r="BU25" s="179" t="str">
        <f>IF($O25=$BI$12,VLOOKUP($BO25,参照データ!$C$28:$I$41,7,0),"")</f>
        <v/>
      </c>
      <c r="BV25" s="178" t="str">
        <f>IF($J25=$BI$13,VLOOKUP($BO25,参照データ!$C$28:$I$41,2,0),"")</f>
        <v/>
      </c>
      <c r="BW25" s="169" t="str">
        <f>IF($K25=$BI$13,VLOOKUP($BO25,参照データ!$C$28:$I$41,3,0),"")</f>
        <v/>
      </c>
      <c r="BX25" s="169" t="str">
        <f>IF($L25=$BI$13,VLOOKUP($BO25,参照データ!$C$28:$I$41,4,0),"")</f>
        <v/>
      </c>
      <c r="BY25" s="169" t="str">
        <f>IF($M25=$BI$13,VLOOKUP($BO25,参照データ!$C$28:$I$41,5,0),"")</f>
        <v/>
      </c>
      <c r="BZ25" s="169" t="str">
        <f>IF($N25=$BI$13,VLOOKUP($BO25,参照データ!$C$28:$I$41,6,0),"")</f>
        <v/>
      </c>
      <c r="CA25" s="179" t="str">
        <f>IF($O25=$BI$13,VLOOKUP($BO25,参照データ!$C$28:$I$41,7,0),"")</f>
        <v/>
      </c>
      <c r="CB25" s="271" t="str">
        <f t="shared" si="26"/>
        <v/>
      </c>
      <c r="CC25" s="177" t="str">
        <f>IF($Q25="入門",VLOOKUP($BO25,参照データ!$C$47:$U$60,2,0),IF($Q25="初級",VLOOKUP($BO25,参照データ!$C$47:$U$60,3,0),IF($Q25="中級",VLOOKUP($BO25,参照データ!$C$47:$U$60,4,0),IF($Q25="上級",VLOOKUP($BO25,参照データ!$C$47:$U$60,5,0),""))))</f>
        <v/>
      </c>
      <c r="CD25" s="177" t="str">
        <f>IF($R25="初級",VLOOKUP($BO25,参照データ!$C$47:$U$60,6,0),IF($R25="中級",VLOOKUP($BO25,参照データ!$C$47:$U$60,7,0),IF($R25="上級",VLOOKUP($BO25,参照データ!$C$47:$U$60,8,0),"")))</f>
        <v/>
      </c>
      <c r="CE25" s="177" t="str">
        <f>IF($S25="初級",VLOOKUP($BO25,参照データ!$C$47:$U$60,9,0),IF($S25="上級",VLOOKUP($BO25,参照データ!$C$47:$U$60,10,0),""))</f>
        <v/>
      </c>
      <c r="CF25" s="177" t="str">
        <f>IF($T25="初級",VLOOKUP($BO25,参照データ!$C$47:$U$60,11,0),IF($T25="中級",VLOOKUP($BO25,参照データ!$C$47:$U$60,12,0),IF($T25="上級",VLOOKUP($BO25,参照データ!$C$47:$U$60,13,0),"")))</f>
        <v/>
      </c>
      <c r="CG25" s="177" t="str">
        <f>IF($U25="初級",VLOOKUP($BO25,参照データ!$C$47:$U$60,14,0),IF($U25="中級",VLOOKUP($BO25,参照データ!$C$47:$U$60,15,0),IF($U25="上級",VLOOKUP($BO25,参照データ!$C$47:$U$60,16,0),"")))</f>
        <v/>
      </c>
      <c r="CH25" s="55" t="str">
        <f t="shared" si="5"/>
        <v/>
      </c>
      <c r="CI25" s="55" t="str">
        <f>IF($V25="初級",VLOOKUP($BO25,参照データ!$C$47:$U$60,17,0),IF($V25="中級",VLOOKUP($BO25,参照データ!$C$47:$U$60,18,0),IF($V25="上級",VLOOKUP($BO25,参照データ!$C$47:$U$60,19,0),"")))</f>
        <v/>
      </c>
      <c r="CJ25" s="868"/>
      <c r="CK25" s="73" t="s">
        <v>249</v>
      </c>
      <c r="CL25" s="150" t="str">
        <f t="shared" si="6"/>
        <v/>
      </c>
      <c r="CM25" s="872"/>
      <c r="CO25" s="61">
        <f>IF(AND($BJ25&gt;=参照データ!$C$71,$BJ25&lt;=参照データ!$C$69),1,IF(AND($BJ25&gt;=参照データ!$C$74,$BJ25&lt;=参照データ!$C$72),2,IF(AND($BJ25&gt;=参照データ!$C$77,$BJ25&lt;=参照データ!$C$75),3,IF(AND($BJ25&gt;=参照データ!$C$80,$BJ25&lt;=参照データ!$C$78),4,IF(AND($BJ25&gt;=参照データ!$C$83,$BJ25&lt;=参照データ!$C$81),5,IF(AND($BJ25&gt;0,$BJ25&lt;=参照データ!$C$84),6,""))))))</f>
        <v>5</v>
      </c>
      <c r="CP25" s="160" t="str">
        <f>IF($Y25="オープン",(VLOOKUP($CO25,参照データ!$D$69:$J$86,2,0)),"")</f>
        <v/>
      </c>
      <c r="CQ25" s="79" t="str">
        <f t="shared" si="27"/>
        <v/>
      </c>
      <c r="CR25" s="78" t="str">
        <f>IF($AA25="オープン",(VLOOKUP($CO25,参照データ!$D$69:$J$86,3,0)),"")</f>
        <v/>
      </c>
      <c r="CS25" s="79" t="str">
        <f t="shared" si="28"/>
        <v/>
      </c>
      <c r="CT25" s="78" t="str">
        <f>IF($AC25="オープン",(VLOOKUP($CO25,参照データ!$D$69:$J$86,4,0)),"")</f>
        <v/>
      </c>
      <c r="CU25" s="79" t="str">
        <f t="shared" si="29"/>
        <v/>
      </c>
      <c r="CV25" s="78" t="str">
        <f>IF($AE25="オープン",(VLOOKUP($CO25,参照データ!$D$69:$J$86,5,0)),"")</f>
        <v/>
      </c>
      <c r="CW25" s="79" t="str">
        <f t="shared" si="7"/>
        <v/>
      </c>
      <c r="CX25" s="78" t="str">
        <f>IF($AG25="オープン",(VLOOKUP($CO25,参照データ!$D$69:$J$86,6,0)),"")</f>
        <v/>
      </c>
      <c r="CY25" s="79" t="str">
        <f t="shared" si="30"/>
        <v/>
      </c>
      <c r="CZ25" s="38" t="str">
        <f t="shared" si="31"/>
        <v/>
      </c>
      <c r="DA25" s="37" t="str">
        <f t="shared" si="32"/>
        <v/>
      </c>
      <c r="DB25" s="79" t="str">
        <f t="shared" si="33"/>
        <v/>
      </c>
      <c r="DC25" s="858"/>
      <c r="DD25" s="85" t="s">
        <v>99</v>
      </c>
      <c r="DE25" s="86" t="str">
        <f t="shared" si="34"/>
        <v/>
      </c>
      <c r="DF25" s="860"/>
      <c r="DG25" s="350" t="str">
        <f t="shared" ref="DG25" si="84">$DG24</f>
        <v/>
      </c>
      <c r="DH25" s="523">
        <f>IF(AND($BJ25&gt;=参照データ!$C$130,$BJ25&lt;=参照データ!$C$128),1,IF(AND($BJ25&gt;=参照データ!$C$133,$BJ25&lt;=参照データ!$C$131),2,IF(AND($BJ25&gt;=参照データ!$C$139,$BJ25&lt;=参照データ!$C$137),3,IF(AND($BJ25&gt;0,$BJ25&lt;=参照データ!$C$140),4,""))))</f>
        <v>1</v>
      </c>
      <c r="DI25" s="523">
        <f t="shared" si="35"/>
        <v>7</v>
      </c>
      <c r="DJ25" s="523" t="str">
        <f t="shared" si="36"/>
        <v/>
      </c>
      <c r="DK25" s="524" t="str">
        <f>IF($AN25="","",IF(AND($AN25="○",$BK25="男子"),VLOOKUP($DI25,参照データ!$D$128:$J$145,3,FALSE),VLOOKUP($DH25,参照データ!$D$128:$J$145,3,FALSE)))</f>
        <v/>
      </c>
      <c r="DL25" s="525" t="str">
        <f t="shared" si="37"/>
        <v/>
      </c>
      <c r="DM25" s="524" t="str">
        <f>IF($AP25="","",IF(AND($AP25="○",$BK25="男子"),VLOOKUP($DI25,参照データ!$D$128:$J$145,4,FALSE),VLOOKUP($DH25,参照データ!$D$128:$J$145,4,FALSE)))</f>
        <v/>
      </c>
      <c r="DN25" s="525" t="str">
        <f t="shared" si="38"/>
        <v/>
      </c>
      <c r="DO25" s="524" t="str">
        <f>IF($AR25="","",IF(AND($AR25="○",$BK25="男子"),VLOOKUP($DI25,参照データ!$D$128:$J$145,5,FALSE),VLOOKUP($DH25,参照データ!$D$128:$J$145,5,FALSE)))</f>
        <v/>
      </c>
      <c r="DP25" s="525" t="str">
        <f t="shared" si="39"/>
        <v/>
      </c>
      <c r="DQ25" s="524" t="str">
        <f>IF($AT25="","",IF(AND($AT25="○",$BK25="男子"),VLOOKUP($DI25,参照データ!$D$128:$J$145,6,FALSE),VLOOKUP($DH25,参照データ!$D$128:$J$145,6,FALSE)))</f>
        <v/>
      </c>
      <c r="DR25" s="525" t="str">
        <f t="shared" si="40"/>
        <v/>
      </c>
      <c r="DS25" s="526" t="str">
        <f t="shared" si="41"/>
        <v/>
      </c>
      <c r="DT25" s="527" t="str">
        <f t="shared" si="42"/>
        <v/>
      </c>
      <c r="DU25" s="528" t="str">
        <f t="shared" si="43"/>
        <v/>
      </c>
      <c r="DV25" s="983"/>
      <c r="DW25" s="531" t="s">
        <v>99</v>
      </c>
      <c r="DX25" s="532" t="str">
        <f t="shared" si="8"/>
        <v/>
      </c>
      <c r="DY25" s="994"/>
      <c r="DZ25" s="692" t="str">
        <f>$DZ24</f>
        <v/>
      </c>
      <c r="EA25" s="526" t="str">
        <f t="shared" ref="EA25:EA71" si="85">IF($AY25="○",$AZ25,"")</f>
        <v/>
      </c>
      <c r="EB25" s="527" t="str">
        <f t="shared" ref="EB25:EB71" si="86">IFERROR(VLOOKUP($EA25,$EE:$EI,5,0),"")</f>
        <v/>
      </c>
      <c r="EC25" s="528" t="str">
        <f t="shared" ref="EC25:EC71" si="87">IF($EI25="","","DT")</f>
        <v/>
      </c>
      <c r="ED25" s="983"/>
      <c r="EE25" s="531" t="s">
        <v>99</v>
      </c>
      <c r="EF25" s="531" t="str">
        <f t="shared" ref="EF25:EF71" si="88">IFERROR(INDEX($AM:$AM,MATCH($EE25,$EA:$EA,0)),"")</f>
        <v/>
      </c>
      <c r="EG25" s="532" t="str">
        <f>IF(SUM(EF24:EF25)&lt;24,"",IF(SUM(EF24:EF25)&gt;=36,3,2))</f>
        <v/>
      </c>
      <c r="EH25" s="994"/>
      <c r="EI25" s="527" t="str">
        <f>$EI24</f>
        <v/>
      </c>
      <c r="EJ25" s="555" t="str">
        <f t="shared" si="13"/>
        <v/>
      </c>
      <c r="EK25" s="556" t="str">
        <f t="shared" si="44"/>
        <v/>
      </c>
      <c r="EL25" s="846"/>
      <c r="EM25" s="561" t="s">
        <v>769</v>
      </c>
      <c r="EN25" s="562" t="str">
        <f t="shared" si="45"/>
        <v/>
      </c>
      <c r="EO25" s="849"/>
      <c r="EP25" s="555" t="str">
        <f t="shared" si="14"/>
        <v/>
      </c>
      <c r="EQ25" s="556" t="str">
        <f t="shared" si="46"/>
        <v/>
      </c>
      <c r="ER25" s="846"/>
      <c r="ES25" s="561" t="s">
        <v>769</v>
      </c>
      <c r="ET25" s="562" t="str">
        <f t="shared" si="47"/>
        <v/>
      </c>
      <c r="EU25" s="849"/>
      <c r="EV25" s="38" t="str">
        <f t="shared" si="15"/>
        <v/>
      </c>
      <c r="EW25" s="552" t="str">
        <f t="shared" si="48"/>
        <v/>
      </c>
      <c r="EX25" s="833"/>
      <c r="EY25" s="559" t="s">
        <v>768</v>
      </c>
      <c r="EZ25" s="560" t="str">
        <f t="shared" si="49"/>
        <v/>
      </c>
      <c r="FA25" s="835"/>
      <c r="FB25" t="str">
        <f>IF($FC25="","",DATEDIF($BJ25,参照データ!$D$19,"Y"))</f>
        <v/>
      </c>
      <c r="FC25" s="298" t="str">
        <f>IFERROR(IF($BK25="男子",VLOOKUP($FJ25,参照データ!$D$92:$E$118,2,0),$FJ25),0)</f>
        <v/>
      </c>
      <c r="FD25" s="92" t="str">
        <f>IF($Y25="選手権",(VLOOKUP($FC25,参照データ!$D$92:$K$121,3,0)),"")</f>
        <v/>
      </c>
      <c r="FE25" s="93" t="str">
        <f t="shared" si="16"/>
        <v/>
      </c>
      <c r="FF25" s="92" t="str">
        <f>IF($AA25="選手権",(VLOOKUP($FC25,参照データ!$D$92:$K$121,4,0)),"")</f>
        <v/>
      </c>
      <c r="FG25" s="93" t="str">
        <f t="shared" si="17"/>
        <v/>
      </c>
      <c r="FH25" s="92" t="str">
        <f>IF($AC25="選手権",(VLOOKUP($FC25,参照データ!$D$92:$K$121,5,0)),"")</f>
        <v/>
      </c>
      <c r="FI25" s="93" t="str">
        <f t="shared" si="18"/>
        <v/>
      </c>
      <c r="FJ25" s="61" t="str">
        <f>IF(AND($BJ25&gt;=参照データ!$C$94,$BJ25&lt;=参照データ!$C$92),1,IF(AND($BJ25&gt;=参照データ!$C$97,$BJ25&lt;=参照データ!$C$95),2,IF(AND($BJ25&gt;=参照データ!$C$103,$BJ25&lt;=参照データ!$C$101),3,IF(AND($BJ25&gt;=参照データ!$C$109,$BJ25&lt;=参照データ!$C$107),4,IF(AND($BJ25&gt;=参照データ!$C$115,$BJ25&lt;=参照データ!$C$113),5,IF(AND($BJ25&gt;0,$BJ25&lt;=参照データ!$C$116),6,""))))))</f>
        <v/>
      </c>
      <c r="FK25" s="92" t="str">
        <f>IF($AE25="選手権",(VLOOKUP($FJ25,参照データ!$D$92:$K$121,6,0)),"")</f>
        <v/>
      </c>
      <c r="FL25" s="93" t="str">
        <f t="shared" si="19"/>
        <v/>
      </c>
      <c r="FM25" s="92" t="str">
        <f>IF($AG25="選手権",(VLOOKUP($FJ25,参照データ!$D$92:$K$121,7,0)),"")</f>
        <v/>
      </c>
      <c r="FN25" s="93" t="str">
        <f t="shared" si="50"/>
        <v/>
      </c>
      <c r="FO25" s="38" t="str">
        <f t="shared" si="51"/>
        <v/>
      </c>
      <c r="FP25" s="37" t="str">
        <f t="shared" si="52"/>
        <v/>
      </c>
      <c r="FQ25" s="93" t="str">
        <f t="shared" si="53"/>
        <v/>
      </c>
      <c r="FR25" s="976"/>
      <c r="FS25" s="99" t="s">
        <v>99</v>
      </c>
      <c r="FT25" s="100" t="str">
        <f t="shared" si="20"/>
        <v/>
      </c>
      <c r="FU25" s="978"/>
      <c r="FV25" s="356" t="str">
        <f t="shared" ref="FV25" si="89">$FV24</f>
        <v/>
      </c>
      <c r="FY25" s="40">
        <f>(COUNTIF($J25:$O25,"&lt;&gt;"))*参照データ!$E$3</f>
        <v>0</v>
      </c>
      <c r="FZ25" s="267" t="str">
        <f>IF($P25="○",参照データ!$E$4,"")</f>
        <v/>
      </c>
      <c r="GA25" s="19">
        <f>(SUM(COUNTIF($Q25:$U25,{"入門","初級"}))*参照データ!$E$9)+(SUM(COUNTIF($Q25:$U25,{"中級","上級"})*参照データ!$E$10))</f>
        <v>0</v>
      </c>
      <c r="GB25" s="19">
        <f>IFERROR(VLOOKUP($V25,参照データ!$D$9:$J$11,7,0),0)</f>
        <v>0</v>
      </c>
      <c r="GC25" s="19">
        <f>((COUNTIF($Y25:$AG25,"オープン"))*参照データ!$E$12)</f>
        <v>0</v>
      </c>
      <c r="GD25" s="19" t="str">
        <f>(IF($AI25="オープン",参照データ!$J$12,""))</f>
        <v/>
      </c>
      <c r="GE25" s="19">
        <f>(COUNTIF($AN25:$AU25,"○")*参照データ!$E$22)</f>
        <v>0</v>
      </c>
      <c r="GF25" s="19">
        <f>(COUNTIF($AV25:$BA25,"○")*参照データ!$I$22)</f>
        <v>0</v>
      </c>
      <c r="GI25" s="19">
        <f>((COUNTIF($Y25:$AG25,"選手権"))*参照データ!$E$13)</f>
        <v>0</v>
      </c>
      <c r="GJ25" s="19" t="str">
        <f>(IF($AI25="選手権",参照データ!$J$13,""))</f>
        <v/>
      </c>
      <c r="GK25" s="106">
        <f t="array" ref="GK25">SUM(IF(ISERROR(FY25:GJ25),0,(FY25:GJ25)))</f>
        <v>0</v>
      </c>
      <c r="GL25" s="19"/>
      <c r="GM25" s="19">
        <f t="shared" si="54"/>
        <v>0</v>
      </c>
      <c r="GN25" s="19">
        <f t="shared" si="55"/>
        <v>0</v>
      </c>
      <c r="GO25" s="19">
        <f t="shared" si="56"/>
        <v>0</v>
      </c>
      <c r="GP25" s="19">
        <f t="shared" si="21"/>
        <v>0</v>
      </c>
      <c r="GQ25" s="19">
        <f t="shared" si="57"/>
        <v>0</v>
      </c>
      <c r="GR25" s="19">
        <f t="shared" si="58"/>
        <v>0</v>
      </c>
      <c r="GS25" s="19">
        <f t="shared" si="59"/>
        <v>0</v>
      </c>
      <c r="GT25" s="19">
        <f t="shared" si="60"/>
        <v>0</v>
      </c>
      <c r="GU25" s="19">
        <f t="shared" si="61"/>
        <v>0</v>
      </c>
      <c r="GV25" t="str">
        <f t="shared" si="22"/>
        <v/>
      </c>
      <c r="GW25" t="str">
        <f t="shared" si="62"/>
        <v/>
      </c>
      <c r="GX25" t="str">
        <f t="shared" si="23"/>
        <v/>
      </c>
      <c r="GY25" t="str">
        <f t="shared" si="63"/>
        <v/>
      </c>
      <c r="GZ25" t="str">
        <f t="shared" si="24"/>
        <v/>
      </c>
    </row>
    <row r="26" spans="1:208" ht="18.75" customHeight="1" x14ac:dyDescent="0.15">
      <c r="A26">
        <v>15</v>
      </c>
      <c r="B26" s="15" t="str">
        <f>IF(D26="","",IF(D26="重複","",COUNTIF(B$12:$B25,"&gt;0")+1))</f>
        <v/>
      </c>
      <c r="C26" s="713"/>
      <c r="D26" s="185"/>
      <c r="E26" s="185"/>
      <c r="F26" s="36"/>
      <c r="G26" s="47"/>
      <c r="H26" s="402">
        <f t="shared" si="2"/>
        <v>0</v>
      </c>
      <c r="I26" s="201" t="str">
        <f>IF($BJ26=0,"",DATEDIF($BJ26,参照データ!$D$16,"Y"))</f>
        <v/>
      </c>
      <c r="J26" s="41"/>
      <c r="K26" s="41"/>
      <c r="L26" s="41"/>
      <c r="M26" s="41"/>
      <c r="N26" s="41"/>
      <c r="O26" s="49"/>
      <c r="P26" s="395"/>
      <c r="Q26" s="51"/>
      <c r="R26" s="289"/>
      <c r="S26" s="289"/>
      <c r="T26" s="289"/>
      <c r="U26" s="290"/>
      <c r="V26" s="292"/>
      <c r="W26" s="295"/>
      <c r="Y26" s="446"/>
      <c r="Z26" s="396" t="str">
        <f>IF($Y26="オープン",VLOOKUP($CO26,参照データ!$D$69:$M$86,9,0),IF($Y26="選手権",VLOOKUP($FC26,参照データ!$D$92:$O$121,10,0),""))</f>
        <v/>
      </c>
      <c r="AA26" s="446"/>
      <c r="AB26" s="666" t="str">
        <f>IF($AA26="オープン",VLOOKUP($CO26,参照データ!$D$69:$M$86,10,0),IF($AA26="選手権",VLOOKUP($FC26,参照データ!$D$92:$O$121,11,0),""))</f>
        <v/>
      </c>
      <c r="AC26" s="669"/>
      <c r="AD26" s="396" t="str">
        <f>IF($AC26="オープン",VLOOKUP($CO26,参照データ!$D$69:$M$86,10,0),IF($AC26="選手権",VLOOKUP($FC26,参照データ!$D$92:$O$121,11,0),""))</f>
        <v/>
      </c>
      <c r="AE26" s="446"/>
      <c r="AF26" s="396" t="str">
        <f>IF($AE26="オープン",VLOOKUP($CO26,参照データ!$D$69:$M$86,10,0),IF($AE26="選手権",VLOOKUP($FJ26,参照データ!$D$92:$O$121,12,0),""))</f>
        <v/>
      </c>
      <c r="AG26" s="446"/>
      <c r="AH26" s="396" t="str">
        <f>IF($AG26="オープン",VLOOKUP($CO26,参照データ!$D$69:$M$86,10,0),IF($AG26="選手権",VLOOKUP($FJ26,参照データ!$D$92:$O$121,12,0),""))</f>
        <v/>
      </c>
      <c r="AI26" s="446"/>
      <c r="AJ26" s="449"/>
      <c r="AK26" s="396" t="str">
        <f t="shared" si="3"/>
        <v/>
      </c>
      <c r="AL26" s="587"/>
      <c r="AM26" s="588" t="str">
        <f>IF($BJ26=0,"",DATEDIF($BJ26,参照データ!$D$17,"Y"))</f>
        <v/>
      </c>
      <c r="AN26" s="450"/>
      <c r="AO26" s="591" t="str">
        <f>IF(AN26="","",IF($BK26="男子",VLOOKUP($DI26,参照データ!$D$128:$M$145,10,FALSE),VLOOKUP($DH26,参照データ!$D$128:$M$145,10,FALSE)))</f>
        <v/>
      </c>
      <c r="AP26" s="450"/>
      <c r="AQ26" s="591" t="str">
        <f>IF(AP26="","",IF($BK26="男子",VLOOKUP($DI26,参照データ!$D$128:$M$145,10,FALSE),VLOOKUP($DH26,参照データ!$D$128:$M$145,10,FALSE)))</f>
        <v/>
      </c>
      <c r="AR26" s="450"/>
      <c r="AS26" s="591" t="str">
        <f>IF(AR26="","",IF($BK26="男子",VLOOKUP($DI26,参照データ!$D$128:$M$145,10,FALSE),VLOOKUP($DH26,参照データ!$D$128:$M$145,10,FALSE)))</f>
        <v/>
      </c>
      <c r="AT26" s="450"/>
      <c r="AU26" s="591" t="str">
        <f>IF(AT26="","",IF($BK26="男子",VLOOKUP($DI26,参照データ!$D$128:$M$145,10,FALSE),VLOOKUP($DH26,参照データ!$D$128:$M$145,10,FALSE)))</f>
        <v/>
      </c>
      <c r="AV26" s="448"/>
      <c r="AW26" s="448"/>
      <c r="AX26" s="585" t="str">
        <f t="shared" si="25"/>
        <v/>
      </c>
      <c r="AY26" s="448"/>
      <c r="AZ26" s="448"/>
      <c r="BA26" s="585" t="str">
        <f t="shared" si="83"/>
        <v/>
      </c>
      <c r="BB26" s="677"/>
      <c r="BC26" s="724"/>
      <c r="BD26" s="640"/>
      <c r="BE26" s="623"/>
      <c r="BF26" s="365"/>
      <c r="BG26" s="366"/>
      <c r="BJ26">
        <f t="shared" si="75"/>
        <v>0</v>
      </c>
      <c r="BK26" t="str">
        <f t="shared" si="65"/>
        <v/>
      </c>
      <c r="BL26" s="146"/>
      <c r="BO26" s="61" t="str">
        <f>IF($BJ26=0,"",IF(AND($I26&gt;=6,$I26&lt;=19),VLOOKUP($I26,参照データ!$B$28:$C$41,2,0),IF($I26&lt;6,6,19)))</f>
        <v/>
      </c>
      <c r="BP26" s="178" t="str">
        <f>IF($J26=$BI$12,VLOOKUP($BO26,参照データ!$C$28:$I$41,2,0),"")</f>
        <v/>
      </c>
      <c r="BQ26" s="169" t="str">
        <f>IF($K26=$BI$12,VLOOKUP($BO26,参照データ!$C$28:$I$41,3,0),"")</f>
        <v/>
      </c>
      <c r="BR26" s="169" t="str">
        <f>IF($L26=$BI$12,VLOOKUP($BO26,参照データ!$C$28:$I$41,4,0),"")</f>
        <v/>
      </c>
      <c r="BS26" s="169" t="str">
        <f>IF($M26=$BI$12,VLOOKUP($BO26,参照データ!$C$28:$I$41,5,0),"")</f>
        <v/>
      </c>
      <c r="BT26" s="169" t="str">
        <f>IF($N26=$BI$12,VLOOKUP($BO26,参照データ!$C$28:$I$41,6,0),"")</f>
        <v/>
      </c>
      <c r="BU26" s="179" t="str">
        <f>IF($O26=$BI$12,VLOOKUP($BO26,参照データ!$C$28:$I$41,7,0),"")</f>
        <v/>
      </c>
      <c r="BV26" s="178" t="str">
        <f>IF($J26=$BI$13,VLOOKUP($BO26,参照データ!$C$28:$I$41,2,0),"")</f>
        <v/>
      </c>
      <c r="BW26" s="169" t="str">
        <f>IF($K26=$BI$13,VLOOKUP($BO26,参照データ!$C$28:$I$41,3,0),"")</f>
        <v/>
      </c>
      <c r="BX26" s="169" t="str">
        <f>IF($L26=$BI$13,VLOOKUP($BO26,参照データ!$C$28:$I$41,4,0),"")</f>
        <v/>
      </c>
      <c r="BY26" s="169" t="str">
        <f>IF($M26=$BI$13,VLOOKUP($BO26,参照データ!$C$28:$I$41,5,0),"")</f>
        <v/>
      </c>
      <c r="BZ26" s="169" t="str">
        <f>IF($N26=$BI$13,VLOOKUP($BO26,参照データ!$C$28:$I$41,6,0),"")</f>
        <v/>
      </c>
      <c r="CA26" s="179" t="str">
        <f>IF($O26=$BI$13,VLOOKUP($BO26,参照データ!$C$28:$I$41,7,0),"")</f>
        <v/>
      </c>
      <c r="CB26" s="271" t="str">
        <f t="shared" si="26"/>
        <v/>
      </c>
      <c r="CC26" s="177" t="str">
        <f>IF($Q26="入門",VLOOKUP($BO26,参照データ!$C$47:$U$60,2,0),IF($Q26="初級",VLOOKUP($BO26,参照データ!$C$47:$U$60,3,0),IF($Q26="中級",VLOOKUP($BO26,参照データ!$C$47:$U$60,4,0),IF($Q26="上級",VLOOKUP($BO26,参照データ!$C$47:$U$60,5,0),""))))</f>
        <v/>
      </c>
      <c r="CD26" s="177" t="str">
        <f>IF($R26="初級",VLOOKUP($BO26,参照データ!$C$47:$U$60,6,0),IF($R26="中級",VLOOKUP($BO26,参照データ!$C$47:$U$60,7,0),IF($R26="上級",VLOOKUP($BO26,参照データ!$C$47:$U$60,8,0),"")))</f>
        <v/>
      </c>
      <c r="CE26" s="177" t="str">
        <f>IF($S26="初級",VLOOKUP($BO26,参照データ!$C$47:$U$60,9,0),IF($S26="上級",VLOOKUP($BO26,参照データ!$C$47:$U$60,10,0),""))</f>
        <v/>
      </c>
      <c r="CF26" s="177" t="str">
        <f>IF($T26="初級",VLOOKUP($BO26,参照データ!$C$47:$U$60,11,0),IF($T26="中級",VLOOKUP($BO26,参照データ!$C$47:$U$60,12,0),IF($T26="上級",VLOOKUP($BO26,参照データ!$C$47:$U$60,13,0),"")))</f>
        <v/>
      </c>
      <c r="CG26" s="177" t="str">
        <f>IF($U26="初級",VLOOKUP($BO26,参照データ!$C$47:$U$60,14,0),IF($U26="中級",VLOOKUP($BO26,参照データ!$C$47:$U$60,15,0),IF($U26="上級",VLOOKUP($BO26,参照データ!$C$47:$U$60,16,0),"")))</f>
        <v/>
      </c>
      <c r="CH26" s="55" t="str">
        <f t="shared" si="5"/>
        <v/>
      </c>
      <c r="CI26" s="55" t="str">
        <f>IF($V26="初級",VLOOKUP($BO26,参照データ!$C$47:$U$60,17,0),IF($V26="中級",VLOOKUP($BO26,参照データ!$C$47:$U$60,18,0),IF($V26="上級",VLOOKUP($BO26,参照データ!$C$47:$U$60,19,0),"")))</f>
        <v/>
      </c>
      <c r="CJ26" s="867">
        <v>8</v>
      </c>
      <c r="CK26" s="74" t="s">
        <v>250</v>
      </c>
      <c r="CL26" s="151" t="str">
        <f t="shared" si="6"/>
        <v/>
      </c>
      <c r="CM26" s="871" t="str">
        <f t="shared" ref="CM26" si="90">IF(OR($CL26="",$CL27=""),"",IF($CL26&gt;$CL27,$CL26,$CL27))</f>
        <v/>
      </c>
      <c r="CO26" s="61">
        <f>IF(AND($BJ26&gt;=参照データ!$C$71,$BJ26&lt;=参照データ!$C$69),1,IF(AND($BJ26&gt;=参照データ!$C$74,$BJ26&lt;=参照データ!$C$72),2,IF(AND($BJ26&gt;=参照データ!$C$77,$BJ26&lt;=参照データ!$C$75),3,IF(AND($BJ26&gt;=参照データ!$C$80,$BJ26&lt;=参照データ!$C$78),4,IF(AND($BJ26&gt;=参照データ!$C$83,$BJ26&lt;=参照データ!$C$81),5,IF(AND($BJ26&gt;0,$BJ26&lt;=参照データ!$C$84),6,""))))))</f>
        <v>5</v>
      </c>
      <c r="CP26" s="160" t="str">
        <f>IF($Y26="オープン",(VLOOKUP($CO26,参照データ!$D$69:$J$86,2,0)),"")</f>
        <v/>
      </c>
      <c r="CQ26" s="79" t="str">
        <f t="shared" si="27"/>
        <v/>
      </c>
      <c r="CR26" s="78" t="str">
        <f>IF($AA26="オープン",(VLOOKUP($CO26,参照データ!$D$69:$J$86,3,0)),"")</f>
        <v/>
      </c>
      <c r="CS26" s="79" t="str">
        <f t="shared" si="28"/>
        <v/>
      </c>
      <c r="CT26" s="78" t="str">
        <f>IF($AC26="オープン",(VLOOKUP($CO26,参照データ!$D$69:$J$86,4,0)),"")</f>
        <v/>
      </c>
      <c r="CU26" s="79" t="str">
        <f t="shared" si="29"/>
        <v/>
      </c>
      <c r="CV26" s="78" t="str">
        <f>IF($AE26="オープン",(VLOOKUP($CO26,参照データ!$D$69:$J$86,5,0)),"")</f>
        <v/>
      </c>
      <c r="CW26" s="79" t="str">
        <f t="shared" si="7"/>
        <v/>
      </c>
      <c r="CX26" s="78" t="str">
        <f>IF($AG26="オープン",(VLOOKUP($CO26,参照データ!$D$69:$J$86,6,0)),"")</f>
        <v/>
      </c>
      <c r="CY26" s="79" t="str">
        <f t="shared" si="30"/>
        <v/>
      </c>
      <c r="CZ26" s="38" t="str">
        <f t="shared" si="31"/>
        <v/>
      </c>
      <c r="DA26" s="37" t="str">
        <f t="shared" si="32"/>
        <v/>
      </c>
      <c r="DB26" s="79" t="str">
        <f t="shared" si="33"/>
        <v/>
      </c>
      <c r="DC26" s="857">
        <v>8</v>
      </c>
      <c r="DD26" s="87" t="s">
        <v>100</v>
      </c>
      <c r="DE26" s="88" t="str">
        <f t="shared" si="34"/>
        <v/>
      </c>
      <c r="DF26" s="859" t="e">
        <f>IF($DE26&gt;$DE27,VLOOKUP($DE26,参照データ!$D$69:$J$86,7,0),VLOOKUP($DE27,参照データ!$D$69:$J$86,7,0))</f>
        <v>#N/A</v>
      </c>
      <c r="DG26" s="350" t="str">
        <f>IFERROR(VLOOKUP($DF26,参照データ!$J$69:$M$86,4,0),"")</f>
        <v/>
      </c>
      <c r="DH26" s="523">
        <f>IF(AND($BJ26&gt;=参照データ!$C$130,$BJ26&lt;=参照データ!$C$128),1,IF(AND($BJ26&gt;=参照データ!$C$133,$BJ26&lt;=参照データ!$C$131),2,IF(AND($BJ26&gt;=参照データ!$C$139,$BJ26&lt;=参照データ!$C$137),3,IF(AND($BJ26&gt;0,$BJ26&lt;=参照データ!$C$140),4,""))))</f>
        <v>1</v>
      </c>
      <c r="DI26" s="523">
        <f t="shared" si="35"/>
        <v>7</v>
      </c>
      <c r="DJ26" s="523" t="str">
        <f t="shared" si="36"/>
        <v/>
      </c>
      <c r="DK26" s="524" t="str">
        <f>IF($AN26="","",IF(AND($AN26="○",$BK26="男子"),VLOOKUP($DI26,参照データ!$D$128:$J$145,3,FALSE),VLOOKUP($DH26,参照データ!$D$128:$J$145,3,FALSE)))</f>
        <v/>
      </c>
      <c r="DL26" s="525" t="str">
        <f t="shared" si="37"/>
        <v/>
      </c>
      <c r="DM26" s="524" t="str">
        <f>IF($AP26="","",IF(AND($AP26="○",$BK26="男子"),VLOOKUP($DI26,参照データ!$D$128:$J$145,4,FALSE),VLOOKUP($DH26,参照データ!$D$128:$J$145,4,FALSE)))</f>
        <v/>
      </c>
      <c r="DN26" s="525" t="str">
        <f t="shared" si="38"/>
        <v/>
      </c>
      <c r="DO26" s="524" t="str">
        <f>IF($AR26="","",IF(AND($AR26="○",$BK26="男子"),VLOOKUP($DI26,参照データ!$D$128:$J$145,5,FALSE),VLOOKUP($DH26,参照データ!$D$128:$J$145,5,FALSE)))</f>
        <v/>
      </c>
      <c r="DP26" s="525" t="str">
        <f t="shared" si="39"/>
        <v/>
      </c>
      <c r="DQ26" s="524" t="str">
        <f>IF($AT26="","",IF(AND($AT26="○",$BK26="男子"),VLOOKUP($DI26,参照データ!$D$128:$J$145,6,FALSE),VLOOKUP($DH26,参照データ!$D$128:$J$145,6,FALSE)))</f>
        <v/>
      </c>
      <c r="DR26" s="525" t="str">
        <f t="shared" si="40"/>
        <v/>
      </c>
      <c r="DS26" s="526" t="str">
        <f t="shared" si="41"/>
        <v/>
      </c>
      <c r="DT26" s="527" t="str">
        <f t="shared" si="42"/>
        <v/>
      </c>
      <c r="DU26" s="528" t="str">
        <f t="shared" si="43"/>
        <v/>
      </c>
      <c r="DV26" s="982">
        <v>8</v>
      </c>
      <c r="DW26" s="533" t="s">
        <v>100</v>
      </c>
      <c r="DX26" s="534" t="str">
        <f>IFERROR(INDEX($DH:$DH,MATCH($DW26,$DS:$DS,0)),"")</f>
        <v/>
      </c>
      <c r="DY26" s="877" t="e">
        <f>IF($DX26&gt;$DX27,VLOOKUP($DX26,参照データ!$D$128:$K$145,7,0),VLOOKUP($DX27,参照データ!$D$128:$K$145,7,0))</f>
        <v>#N/A</v>
      </c>
      <c r="DZ26" s="692" t="str">
        <f>IFERROR(VLOOKUP($DY26,参照データ!$J$128:$N$145,5,0),"")</f>
        <v/>
      </c>
      <c r="EA26" s="526" t="str">
        <f t="shared" si="85"/>
        <v/>
      </c>
      <c r="EB26" s="527" t="str">
        <f t="shared" si="86"/>
        <v/>
      </c>
      <c r="EC26" s="528" t="str">
        <f t="shared" si="87"/>
        <v/>
      </c>
      <c r="ED26" s="982">
        <v>8</v>
      </c>
      <c r="EE26" s="533" t="s">
        <v>100</v>
      </c>
      <c r="EF26" s="533" t="str">
        <f t="shared" si="88"/>
        <v/>
      </c>
      <c r="EG26" s="534" t="str">
        <f>IF(SUM(EF26:EF27)&lt;24,"",IF(SUM(EF26:EF27)&gt;=36,3,2))</f>
        <v/>
      </c>
      <c r="EH26" s="877" t="e">
        <f>IF($EG26&gt;$EG27,VLOOKUP($EG26,参照データ!$D$128:$K$145,8,0),VLOOKUP($EG27,参照データ!$D$128:$K$145,8,0))</f>
        <v>#N/A</v>
      </c>
      <c r="EI26" s="527" t="str">
        <f>IFERROR(VLOOKUP($EH26,参照データ!$K$128:$N$145,4,0),"")</f>
        <v/>
      </c>
      <c r="EJ26" s="555" t="str">
        <f t="shared" si="13"/>
        <v/>
      </c>
      <c r="EK26" s="556" t="str">
        <f t="shared" si="44"/>
        <v/>
      </c>
      <c r="EL26" s="846"/>
      <c r="EM26" s="561" t="s">
        <v>771</v>
      </c>
      <c r="EN26" s="562" t="str">
        <f t="shared" si="45"/>
        <v/>
      </c>
      <c r="EO26" s="849"/>
      <c r="EP26" s="555" t="str">
        <f t="shared" si="14"/>
        <v/>
      </c>
      <c r="EQ26" s="556" t="str">
        <f t="shared" si="46"/>
        <v/>
      </c>
      <c r="ER26" s="846"/>
      <c r="ES26" s="561" t="s">
        <v>771</v>
      </c>
      <c r="ET26" s="562" t="str">
        <f t="shared" si="47"/>
        <v/>
      </c>
      <c r="EU26" s="849"/>
      <c r="EV26" s="38" t="str">
        <f t="shared" si="15"/>
        <v/>
      </c>
      <c r="EW26" s="552" t="str">
        <f t="shared" si="48"/>
        <v/>
      </c>
      <c r="EX26" s="833"/>
      <c r="EY26" s="559" t="s">
        <v>770</v>
      </c>
      <c r="EZ26" s="560" t="str">
        <f t="shared" si="49"/>
        <v/>
      </c>
      <c r="FA26" s="835"/>
      <c r="FB26" t="str">
        <f>IF($FC26="","",DATEDIF($BJ26,参照データ!$D$19,"Y"))</f>
        <v/>
      </c>
      <c r="FC26" s="298" t="str">
        <f>IFERROR(IF($BK26="男子",VLOOKUP($FJ26,参照データ!$D$92:$E$118,2,0),$FJ26),0)</f>
        <v/>
      </c>
      <c r="FD26" s="92" t="str">
        <f>IF($Y26="選手権",(VLOOKUP($FC26,参照データ!$D$92:$K$121,3,0)),"")</f>
        <v/>
      </c>
      <c r="FE26" s="93" t="str">
        <f t="shared" si="16"/>
        <v/>
      </c>
      <c r="FF26" s="92" t="str">
        <f>IF($AA26="選手権",(VLOOKUP($FC26,参照データ!$D$92:$K$121,4,0)),"")</f>
        <v/>
      </c>
      <c r="FG26" s="93" t="str">
        <f t="shared" si="17"/>
        <v/>
      </c>
      <c r="FH26" s="92" t="str">
        <f>IF($AC26="選手権",(VLOOKUP($FC26,参照データ!$D$92:$K$121,5,0)),"")</f>
        <v/>
      </c>
      <c r="FI26" s="93" t="str">
        <f t="shared" si="18"/>
        <v/>
      </c>
      <c r="FJ26" s="61" t="str">
        <f>IF(AND($BJ26&gt;=参照データ!$C$94,$BJ26&lt;=参照データ!$C$92),1,IF(AND($BJ26&gt;=参照データ!$C$97,$BJ26&lt;=参照データ!$C$95),2,IF(AND($BJ26&gt;=参照データ!$C$103,$BJ26&lt;=参照データ!$C$101),3,IF(AND($BJ26&gt;=参照データ!$C$109,$BJ26&lt;=参照データ!$C$107),4,IF(AND($BJ26&gt;=参照データ!$C$115,$BJ26&lt;=参照データ!$C$113),5,IF(AND($BJ26&gt;0,$BJ26&lt;=参照データ!$C$116),6,""))))))</f>
        <v/>
      </c>
      <c r="FK26" s="92" t="str">
        <f>IF($AE26="選手権",(VLOOKUP($FJ26,参照データ!$D$92:$K$121,6,0)),"")</f>
        <v/>
      </c>
      <c r="FL26" s="93" t="str">
        <f t="shared" si="19"/>
        <v/>
      </c>
      <c r="FM26" s="92" t="str">
        <f>IF($AG26="選手権",(VLOOKUP($FJ26,参照データ!$D$92:$K$121,7,0)),"")</f>
        <v/>
      </c>
      <c r="FN26" s="93" t="str">
        <f t="shared" si="50"/>
        <v/>
      </c>
      <c r="FO26" s="38" t="str">
        <f t="shared" si="51"/>
        <v/>
      </c>
      <c r="FP26" s="37" t="str">
        <f t="shared" si="52"/>
        <v/>
      </c>
      <c r="FQ26" s="93" t="str">
        <f t="shared" si="53"/>
        <v/>
      </c>
      <c r="FR26" s="979">
        <v>8</v>
      </c>
      <c r="FS26" s="101" t="s">
        <v>100</v>
      </c>
      <c r="FT26" s="102" t="str">
        <f t="shared" si="20"/>
        <v/>
      </c>
      <c r="FU26" s="980" t="e">
        <f>IF($FT26&gt;$FT27,VLOOKUP($FT26,参照データ!$D$92:$K$121,8,0),VLOOKUP($FT27,参照データ!$D$92:$K$121,8,0))</f>
        <v>#N/A</v>
      </c>
      <c r="FV26" s="356" t="str">
        <f>IFERROR(VLOOKUP($FU26,参照データ!$K$92:$O$121,5,0),"")</f>
        <v/>
      </c>
      <c r="FY26" s="40">
        <f>(COUNTIF($J26:$O26,"&lt;&gt;"))*参照データ!$E$3</f>
        <v>0</v>
      </c>
      <c r="FZ26" s="267" t="str">
        <f>IF($P26="○",参照データ!$E$4,"")</f>
        <v/>
      </c>
      <c r="GA26" s="19">
        <f>(SUM(COUNTIF($Q26:$U26,{"入門","初級"}))*参照データ!$E$9)+(SUM(COUNTIF($Q26:$U26,{"中級","上級"})*参照データ!$E$10))</f>
        <v>0</v>
      </c>
      <c r="GB26" s="19">
        <f>IFERROR(VLOOKUP($V26,参照データ!$D$9:$J$11,7,0),0)</f>
        <v>0</v>
      </c>
      <c r="GC26" s="19">
        <f>((COUNTIF($Y26:$AG26,"オープン"))*参照データ!$E$12)</f>
        <v>0</v>
      </c>
      <c r="GD26" s="19" t="str">
        <f>(IF($AI26="オープン",参照データ!$J$12,""))</f>
        <v/>
      </c>
      <c r="GE26" s="19">
        <f>(COUNTIF($AN26:$AU26,"○")*参照データ!$E$22)</f>
        <v>0</v>
      </c>
      <c r="GF26" s="19">
        <f>(COUNTIF($AV26:$BA26,"○")*参照データ!$I$22)</f>
        <v>0</v>
      </c>
      <c r="GI26" s="19">
        <f>((COUNTIF($Y26:$AG26,"選手権"))*参照データ!$E$13)</f>
        <v>0</v>
      </c>
      <c r="GJ26" s="19" t="str">
        <f>(IF($AI26="選手権",参照データ!$J$13,""))</f>
        <v/>
      </c>
      <c r="GK26" s="106">
        <f t="array" ref="GK26">SUM(IF(ISERROR(FY26:GJ26),0,(FY26:GJ26)))</f>
        <v>0</v>
      </c>
      <c r="GL26" s="19"/>
      <c r="GM26" s="19">
        <f t="shared" si="54"/>
        <v>0</v>
      </c>
      <c r="GN26" s="19">
        <f t="shared" si="55"/>
        <v>0</v>
      </c>
      <c r="GO26" s="19">
        <f t="shared" si="56"/>
        <v>0</v>
      </c>
      <c r="GP26" s="19">
        <f t="shared" si="21"/>
        <v>0</v>
      </c>
      <c r="GQ26" s="19">
        <f t="shared" si="57"/>
        <v>0</v>
      </c>
      <c r="GR26" s="19">
        <f t="shared" si="58"/>
        <v>0</v>
      </c>
      <c r="GS26" s="19">
        <f t="shared" si="59"/>
        <v>0</v>
      </c>
      <c r="GT26" s="19">
        <f t="shared" si="60"/>
        <v>0</v>
      </c>
      <c r="GU26" s="19">
        <f t="shared" si="61"/>
        <v>0</v>
      </c>
      <c r="GV26" t="str">
        <f t="shared" si="22"/>
        <v/>
      </c>
      <c r="GW26" t="str">
        <f t="shared" si="62"/>
        <v/>
      </c>
      <c r="GX26" t="str">
        <f t="shared" si="23"/>
        <v/>
      </c>
      <c r="GY26" t="str">
        <f t="shared" si="63"/>
        <v/>
      </c>
      <c r="GZ26" t="str">
        <f t="shared" si="24"/>
        <v/>
      </c>
    </row>
    <row r="27" spans="1:208" ht="18.75" customHeight="1" x14ac:dyDescent="0.15">
      <c r="A27">
        <v>16</v>
      </c>
      <c r="B27" s="15" t="str">
        <f>IF(D27="","",IF(D27="重複","",COUNTIF(B$12:$B26,"&gt;0")+1))</f>
        <v/>
      </c>
      <c r="C27" s="713"/>
      <c r="D27" s="185"/>
      <c r="E27" s="185"/>
      <c r="F27" s="36"/>
      <c r="G27" s="47"/>
      <c r="H27" s="402">
        <f t="shared" si="2"/>
        <v>0</v>
      </c>
      <c r="I27" s="201" t="str">
        <f>IF($BJ27=0,"",DATEDIF($BJ27,参照データ!$D$16,"Y"))</f>
        <v/>
      </c>
      <c r="J27" s="41"/>
      <c r="K27" s="41"/>
      <c r="L27" s="41"/>
      <c r="M27" s="41"/>
      <c r="N27" s="41"/>
      <c r="O27" s="49"/>
      <c r="P27" s="395"/>
      <c r="Q27" s="51"/>
      <c r="R27" s="289"/>
      <c r="S27" s="289"/>
      <c r="T27" s="289"/>
      <c r="U27" s="290"/>
      <c r="V27" s="292"/>
      <c r="W27" s="295"/>
      <c r="Y27" s="446"/>
      <c r="Z27" s="396" t="str">
        <f>IF($Y27="オープン",VLOOKUP($CO27,参照データ!$D$69:$M$86,9,0),IF($Y27="選手権",VLOOKUP($FC27,参照データ!$D$92:$O$121,10,0),""))</f>
        <v/>
      </c>
      <c r="AA27" s="446"/>
      <c r="AB27" s="666" t="str">
        <f>IF($AA27="オープン",VLOOKUP($CO27,参照データ!$D$69:$M$86,10,0),IF($AA27="選手権",VLOOKUP($FC27,参照データ!$D$92:$O$121,11,0),""))</f>
        <v/>
      </c>
      <c r="AC27" s="669"/>
      <c r="AD27" s="396" t="str">
        <f>IF($AC27="オープン",VLOOKUP($CO27,参照データ!$D$69:$M$86,10,0),IF($AC27="選手権",VLOOKUP($FC27,参照データ!$D$92:$O$121,11,0),""))</f>
        <v/>
      </c>
      <c r="AE27" s="446"/>
      <c r="AF27" s="396" t="str">
        <f>IF($AE27="オープン",VLOOKUP($CO27,参照データ!$D$69:$M$86,10,0),IF($AE27="選手権",VLOOKUP($FJ27,参照データ!$D$92:$O$121,12,0),""))</f>
        <v/>
      </c>
      <c r="AG27" s="446"/>
      <c r="AH27" s="396" t="str">
        <f>IF($AG27="オープン",VLOOKUP($CO27,参照データ!$D$69:$M$86,10,0),IF($AG27="選手権",VLOOKUP($FJ27,参照データ!$D$92:$O$121,12,0),""))</f>
        <v/>
      </c>
      <c r="AI27" s="446"/>
      <c r="AJ27" s="449"/>
      <c r="AK27" s="396" t="str">
        <f t="shared" si="3"/>
        <v/>
      </c>
      <c r="AL27" s="587"/>
      <c r="AM27" s="588" t="str">
        <f>IF($BJ27=0,"",DATEDIF($BJ27,参照データ!$D$17,"Y"))</f>
        <v/>
      </c>
      <c r="AN27" s="450"/>
      <c r="AO27" s="591" t="str">
        <f>IF(AN27="","",IF($BK27="男子",VLOOKUP($DI27,参照データ!$D$128:$M$145,10,FALSE),VLOOKUP($DH27,参照データ!$D$128:$M$145,10,FALSE)))</f>
        <v/>
      </c>
      <c r="AP27" s="450"/>
      <c r="AQ27" s="591" t="str">
        <f>IF(AP27="","",IF($BK27="男子",VLOOKUP($DI27,参照データ!$D$128:$M$145,10,FALSE),VLOOKUP($DH27,参照データ!$D$128:$M$145,10,FALSE)))</f>
        <v/>
      </c>
      <c r="AR27" s="450"/>
      <c r="AS27" s="591" t="str">
        <f>IF(AR27="","",IF($BK27="男子",VLOOKUP($DI27,参照データ!$D$128:$M$145,10,FALSE),VLOOKUP($DH27,参照データ!$D$128:$M$145,10,FALSE)))</f>
        <v/>
      </c>
      <c r="AT27" s="450"/>
      <c r="AU27" s="591" t="str">
        <f>IF(AT27="","",IF($BK27="男子",VLOOKUP($DI27,参照データ!$D$128:$M$145,10,FALSE),VLOOKUP($DH27,参照データ!$D$128:$M$145,10,FALSE)))</f>
        <v/>
      </c>
      <c r="AV27" s="448"/>
      <c r="AW27" s="448"/>
      <c r="AX27" s="585" t="str">
        <f t="shared" si="25"/>
        <v/>
      </c>
      <c r="AY27" s="448"/>
      <c r="AZ27" s="448"/>
      <c r="BA27" s="585" t="str">
        <f t="shared" si="83"/>
        <v/>
      </c>
      <c r="BB27" s="677"/>
      <c r="BC27" s="724"/>
      <c r="BD27" s="640"/>
      <c r="BE27" s="623"/>
      <c r="BF27" s="365"/>
      <c r="BG27" s="366"/>
      <c r="BJ27">
        <f t="shared" si="75"/>
        <v>0</v>
      </c>
      <c r="BK27" t="str">
        <f t="shared" si="65"/>
        <v/>
      </c>
      <c r="BL27" s="146"/>
      <c r="BO27" s="61" t="str">
        <f>IF($BJ27=0,"",IF(AND($I27&gt;=6,$I27&lt;=19),VLOOKUP($I27,参照データ!$B$28:$C$41,2,0),IF($I27&lt;6,6,19)))</f>
        <v/>
      </c>
      <c r="BP27" s="178" t="str">
        <f>IF($J27=$BI$12,VLOOKUP($BO27,参照データ!$C$28:$I$41,2,0),"")</f>
        <v/>
      </c>
      <c r="BQ27" s="169" t="str">
        <f>IF($K27=$BI$12,VLOOKUP($BO27,参照データ!$C$28:$I$41,3,0),"")</f>
        <v/>
      </c>
      <c r="BR27" s="169" t="str">
        <f>IF($L27=$BI$12,VLOOKUP($BO27,参照データ!$C$28:$I$41,4,0),"")</f>
        <v/>
      </c>
      <c r="BS27" s="169" t="str">
        <f>IF($M27=$BI$12,VLOOKUP($BO27,参照データ!$C$28:$I$41,5,0),"")</f>
        <v/>
      </c>
      <c r="BT27" s="169" t="str">
        <f>IF($N27=$BI$12,VLOOKUP($BO27,参照データ!$C$28:$I$41,6,0),"")</f>
        <v/>
      </c>
      <c r="BU27" s="179" t="str">
        <f>IF($O27=$BI$12,VLOOKUP($BO27,参照データ!$C$28:$I$41,7,0),"")</f>
        <v/>
      </c>
      <c r="BV27" s="178" t="str">
        <f>IF($J27=$BI$13,VLOOKUP($BO27,参照データ!$C$28:$I$41,2,0),"")</f>
        <v/>
      </c>
      <c r="BW27" s="169" t="str">
        <f>IF($K27=$BI$13,VLOOKUP($BO27,参照データ!$C$28:$I$41,3,0),"")</f>
        <v/>
      </c>
      <c r="BX27" s="169" t="str">
        <f>IF($L27=$BI$13,VLOOKUP($BO27,参照データ!$C$28:$I$41,4,0),"")</f>
        <v/>
      </c>
      <c r="BY27" s="169" t="str">
        <f>IF($M27=$BI$13,VLOOKUP($BO27,参照データ!$C$28:$I$41,5,0),"")</f>
        <v/>
      </c>
      <c r="BZ27" s="169" t="str">
        <f>IF($N27=$BI$13,VLOOKUP($BO27,参照データ!$C$28:$I$41,6,0),"")</f>
        <v/>
      </c>
      <c r="CA27" s="179" t="str">
        <f>IF($O27=$BI$13,VLOOKUP($BO27,参照データ!$C$28:$I$41,7,0),"")</f>
        <v/>
      </c>
      <c r="CB27" s="271" t="str">
        <f t="shared" si="26"/>
        <v/>
      </c>
      <c r="CC27" s="177" t="str">
        <f>IF($Q27="入門",VLOOKUP($BO27,参照データ!$C$47:$U$60,2,0),IF($Q27="初級",VLOOKUP($BO27,参照データ!$C$47:$U$60,3,0),IF($Q27="中級",VLOOKUP($BO27,参照データ!$C$47:$U$60,4,0),IF($Q27="上級",VLOOKUP($BO27,参照データ!$C$47:$U$60,5,0),""))))</f>
        <v/>
      </c>
      <c r="CD27" s="177" t="str">
        <f>IF($R27="初級",VLOOKUP($BO27,参照データ!$C$47:$U$60,6,0),IF($R27="中級",VLOOKUP($BO27,参照データ!$C$47:$U$60,7,0),IF($R27="上級",VLOOKUP($BO27,参照データ!$C$47:$U$60,8,0),"")))</f>
        <v/>
      </c>
      <c r="CE27" s="177" t="str">
        <f>IF($S27="初級",VLOOKUP($BO27,参照データ!$C$47:$U$60,9,0),IF($S27="上級",VLOOKUP($BO27,参照データ!$C$47:$U$60,10,0),""))</f>
        <v/>
      </c>
      <c r="CF27" s="177" t="str">
        <f>IF($T27="初級",VLOOKUP($BO27,参照データ!$C$47:$U$60,11,0),IF($T27="中級",VLOOKUP($BO27,参照データ!$C$47:$U$60,12,0),IF($T27="上級",VLOOKUP($BO27,参照データ!$C$47:$U$60,13,0),"")))</f>
        <v/>
      </c>
      <c r="CG27" s="177" t="str">
        <f>IF($U27="初級",VLOOKUP($BO27,参照データ!$C$47:$U$60,14,0),IF($U27="中級",VLOOKUP($BO27,参照データ!$C$47:$U$60,15,0),IF($U27="上級",VLOOKUP($BO27,参照データ!$C$47:$U$60,16,0),"")))</f>
        <v/>
      </c>
      <c r="CH27" s="55" t="str">
        <f t="shared" si="5"/>
        <v/>
      </c>
      <c r="CI27" s="55" t="str">
        <f>IF($V27="初級",VLOOKUP($BO27,参照データ!$C$47:$U$60,17,0),IF($V27="中級",VLOOKUP($BO27,参照データ!$C$47:$U$60,18,0),IF($V27="上級",VLOOKUP($BO27,参照データ!$C$47:$U$60,19,0),"")))</f>
        <v/>
      </c>
      <c r="CJ27" s="868"/>
      <c r="CK27" s="73" t="s">
        <v>251</v>
      </c>
      <c r="CL27" s="150" t="str">
        <f t="shared" si="6"/>
        <v/>
      </c>
      <c r="CM27" s="872"/>
      <c r="CO27" s="61">
        <f>IF(AND($BJ27&gt;=参照データ!$C$71,$BJ27&lt;=参照データ!$C$69),1,IF(AND($BJ27&gt;=参照データ!$C$74,$BJ27&lt;=参照データ!$C$72),2,IF(AND($BJ27&gt;=参照データ!$C$77,$BJ27&lt;=参照データ!$C$75),3,IF(AND($BJ27&gt;=参照データ!$C$80,$BJ27&lt;=参照データ!$C$78),4,IF(AND($BJ27&gt;=参照データ!$C$83,$BJ27&lt;=参照データ!$C$81),5,IF(AND($BJ27&gt;0,$BJ27&lt;=参照データ!$C$84),6,""))))))</f>
        <v>5</v>
      </c>
      <c r="CP27" s="160" t="str">
        <f>IF($Y27="オープン",(VLOOKUP($CO27,参照データ!$D$69:$J$86,2,0)),"")</f>
        <v/>
      </c>
      <c r="CQ27" s="79" t="str">
        <f t="shared" si="27"/>
        <v/>
      </c>
      <c r="CR27" s="78" t="str">
        <f>IF($AA27="オープン",(VLOOKUP($CO27,参照データ!$D$69:$J$86,3,0)),"")</f>
        <v/>
      </c>
      <c r="CS27" s="79" t="str">
        <f t="shared" si="28"/>
        <v/>
      </c>
      <c r="CT27" s="78" t="str">
        <f>IF($AC27="オープン",(VLOOKUP($CO27,参照データ!$D$69:$J$86,4,0)),"")</f>
        <v/>
      </c>
      <c r="CU27" s="79" t="str">
        <f t="shared" si="29"/>
        <v/>
      </c>
      <c r="CV27" s="78" t="str">
        <f>IF($AE27="オープン",(VLOOKUP($CO27,参照データ!$D$69:$J$86,5,0)),"")</f>
        <v/>
      </c>
      <c r="CW27" s="79" t="str">
        <f t="shared" si="7"/>
        <v/>
      </c>
      <c r="CX27" s="78" t="str">
        <f>IF($AG27="オープン",(VLOOKUP($CO27,参照データ!$D$69:$J$86,6,0)),"")</f>
        <v/>
      </c>
      <c r="CY27" s="79" t="str">
        <f t="shared" si="30"/>
        <v/>
      </c>
      <c r="CZ27" s="38" t="str">
        <f t="shared" si="31"/>
        <v/>
      </c>
      <c r="DA27" s="37" t="str">
        <f t="shared" si="32"/>
        <v/>
      </c>
      <c r="DB27" s="79" t="str">
        <f t="shared" si="33"/>
        <v/>
      </c>
      <c r="DC27" s="858"/>
      <c r="DD27" s="85" t="s">
        <v>101</v>
      </c>
      <c r="DE27" s="86" t="str">
        <f t="shared" si="34"/>
        <v/>
      </c>
      <c r="DF27" s="860"/>
      <c r="DG27" s="350" t="str">
        <f t="shared" ref="DG27" si="91">$DG26</f>
        <v/>
      </c>
      <c r="DH27" s="523">
        <f>IF(AND($BJ27&gt;=参照データ!$C$130,$BJ27&lt;=参照データ!$C$128),1,IF(AND($BJ27&gt;=参照データ!$C$133,$BJ27&lt;=参照データ!$C$131),2,IF(AND($BJ27&gt;=参照データ!$C$139,$BJ27&lt;=参照データ!$C$137),3,IF(AND($BJ27&gt;0,$BJ27&lt;=参照データ!$C$140),4,""))))</f>
        <v>1</v>
      </c>
      <c r="DI27" s="523">
        <f t="shared" si="35"/>
        <v>7</v>
      </c>
      <c r="DJ27" s="523" t="str">
        <f t="shared" si="36"/>
        <v/>
      </c>
      <c r="DK27" s="524" t="str">
        <f>IF($AN27="","",IF(AND($AN27="○",$BK27="男子"),VLOOKUP($DI27,参照データ!$D$128:$J$145,3,FALSE),VLOOKUP($DH27,参照データ!$D$128:$J$145,3,FALSE)))</f>
        <v/>
      </c>
      <c r="DL27" s="525" t="str">
        <f t="shared" si="37"/>
        <v/>
      </c>
      <c r="DM27" s="524" t="str">
        <f>IF($AP27="","",IF(AND($AP27="○",$BK27="男子"),VLOOKUP($DI27,参照データ!$D$128:$J$145,4,FALSE),VLOOKUP($DH27,参照データ!$D$128:$J$145,4,FALSE)))</f>
        <v/>
      </c>
      <c r="DN27" s="525" t="str">
        <f t="shared" si="38"/>
        <v/>
      </c>
      <c r="DO27" s="524" t="str">
        <f>IF($AR27="","",IF(AND($AR27="○",$BK27="男子"),VLOOKUP($DI27,参照データ!$D$128:$J$145,5,FALSE),VLOOKUP($DH27,参照データ!$D$128:$J$145,5,FALSE)))</f>
        <v/>
      </c>
      <c r="DP27" s="525" t="str">
        <f t="shared" si="39"/>
        <v/>
      </c>
      <c r="DQ27" s="524" t="str">
        <f>IF($AT27="","",IF(AND($AT27="○",$BK27="男子"),VLOOKUP($DI27,参照データ!$D$128:$J$145,6,FALSE),VLOOKUP($DH27,参照データ!$D$128:$J$145,6,FALSE)))</f>
        <v/>
      </c>
      <c r="DR27" s="525" t="str">
        <f t="shared" si="40"/>
        <v/>
      </c>
      <c r="DS27" s="526" t="str">
        <f t="shared" si="41"/>
        <v/>
      </c>
      <c r="DT27" s="527" t="str">
        <f t="shared" si="42"/>
        <v/>
      </c>
      <c r="DU27" s="528" t="str">
        <f t="shared" si="43"/>
        <v/>
      </c>
      <c r="DV27" s="983"/>
      <c r="DW27" s="531" t="s">
        <v>101</v>
      </c>
      <c r="DX27" s="532" t="str">
        <f t="shared" ref="DX27:DX71" si="92">IFERROR(INDEX($DH:$DH,MATCH($DW27,$DS:$DS,0)),"")</f>
        <v/>
      </c>
      <c r="DY27" s="994"/>
      <c r="DZ27" s="692" t="str">
        <f>$DZ26</f>
        <v/>
      </c>
      <c r="EA27" s="526" t="str">
        <f t="shared" si="85"/>
        <v/>
      </c>
      <c r="EB27" s="527" t="str">
        <f t="shared" si="86"/>
        <v/>
      </c>
      <c r="EC27" s="528" t="str">
        <f t="shared" si="87"/>
        <v/>
      </c>
      <c r="ED27" s="983"/>
      <c r="EE27" s="531" t="s">
        <v>101</v>
      </c>
      <c r="EF27" s="531" t="str">
        <f t="shared" si="88"/>
        <v/>
      </c>
      <c r="EG27" s="532" t="str">
        <f>IF(SUM(EF26:EF27)&lt;24,"",IF(SUM(EF26:EF27)&gt;=36,3,2))</f>
        <v/>
      </c>
      <c r="EH27" s="994"/>
      <c r="EI27" s="527" t="str">
        <f>$EI26</f>
        <v/>
      </c>
      <c r="EJ27" s="555" t="str">
        <f t="shared" si="13"/>
        <v/>
      </c>
      <c r="EK27" s="556" t="str">
        <f t="shared" si="44"/>
        <v/>
      </c>
      <c r="EL27" s="846"/>
      <c r="EM27" s="561" t="s">
        <v>773</v>
      </c>
      <c r="EN27" s="562" t="str">
        <f t="shared" si="45"/>
        <v/>
      </c>
      <c r="EO27" s="849"/>
      <c r="EP27" s="555" t="str">
        <f t="shared" si="14"/>
        <v/>
      </c>
      <c r="EQ27" s="556" t="str">
        <f t="shared" si="46"/>
        <v/>
      </c>
      <c r="ER27" s="846"/>
      <c r="ES27" s="561" t="s">
        <v>773</v>
      </c>
      <c r="ET27" s="562" t="str">
        <f t="shared" si="47"/>
        <v/>
      </c>
      <c r="EU27" s="849"/>
      <c r="EV27" s="38" t="str">
        <f t="shared" si="15"/>
        <v/>
      </c>
      <c r="EW27" s="552" t="str">
        <f t="shared" si="48"/>
        <v/>
      </c>
      <c r="EX27" s="833"/>
      <c r="EY27" s="559" t="s">
        <v>772</v>
      </c>
      <c r="EZ27" s="560" t="str">
        <f t="shared" si="49"/>
        <v/>
      </c>
      <c r="FA27" s="835"/>
      <c r="FB27" t="str">
        <f>IF($FC27="","",DATEDIF($BJ27,参照データ!$D$19,"Y"))</f>
        <v/>
      </c>
      <c r="FC27" s="298" t="str">
        <f>IFERROR(IF($BK27="男子",VLOOKUP($FJ27,参照データ!$D$92:$E$118,2,0),$FJ27),0)</f>
        <v/>
      </c>
      <c r="FD27" s="92" t="str">
        <f>IF($Y27="選手権",(VLOOKUP($FC27,参照データ!$D$92:$K$121,3,0)),"")</f>
        <v/>
      </c>
      <c r="FE27" s="93" t="str">
        <f t="shared" si="16"/>
        <v/>
      </c>
      <c r="FF27" s="92" t="str">
        <f>IF($AA27="選手権",(VLOOKUP($FC27,参照データ!$D$92:$K$121,4,0)),"")</f>
        <v/>
      </c>
      <c r="FG27" s="93" t="str">
        <f t="shared" si="17"/>
        <v/>
      </c>
      <c r="FH27" s="92" t="str">
        <f>IF($AC27="選手権",(VLOOKUP($FC27,参照データ!$D$92:$K$121,5,0)),"")</f>
        <v/>
      </c>
      <c r="FI27" s="93" t="str">
        <f t="shared" si="18"/>
        <v/>
      </c>
      <c r="FJ27" s="61" t="str">
        <f>IF(AND($BJ27&gt;=参照データ!$C$94,$BJ27&lt;=参照データ!$C$92),1,IF(AND($BJ27&gt;=参照データ!$C$97,$BJ27&lt;=参照データ!$C$95),2,IF(AND($BJ27&gt;=参照データ!$C$103,$BJ27&lt;=参照データ!$C$101),3,IF(AND($BJ27&gt;=参照データ!$C$109,$BJ27&lt;=参照データ!$C$107),4,IF(AND($BJ27&gt;=参照データ!$C$115,$BJ27&lt;=参照データ!$C$113),5,IF(AND($BJ27&gt;0,$BJ27&lt;=参照データ!$C$116),6,""))))))</f>
        <v/>
      </c>
      <c r="FK27" s="92" t="str">
        <f>IF($AE27="選手権",(VLOOKUP($FJ27,参照データ!$D$92:$K$121,6,0)),"")</f>
        <v/>
      </c>
      <c r="FL27" s="93" t="str">
        <f t="shared" si="19"/>
        <v/>
      </c>
      <c r="FM27" s="92" t="str">
        <f>IF($AG27="選手権",(VLOOKUP($FJ27,参照データ!$D$92:$K$121,7,0)),"")</f>
        <v/>
      </c>
      <c r="FN27" s="93" t="str">
        <f t="shared" si="50"/>
        <v/>
      </c>
      <c r="FO27" s="38" t="str">
        <f t="shared" si="51"/>
        <v/>
      </c>
      <c r="FP27" s="37" t="str">
        <f t="shared" si="52"/>
        <v/>
      </c>
      <c r="FQ27" s="93" t="str">
        <f t="shared" si="53"/>
        <v/>
      </c>
      <c r="FR27" s="976"/>
      <c r="FS27" s="99" t="s">
        <v>101</v>
      </c>
      <c r="FT27" s="100" t="str">
        <f t="shared" si="20"/>
        <v/>
      </c>
      <c r="FU27" s="978"/>
      <c r="FV27" s="356" t="str">
        <f t="shared" ref="FV27" si="93">$FV26</f>
        <v/>
      </c>
      <c r="FY27" s="40">
        <f>(COUNTIF($J27:$O27,"&lt;&gt;"))*参照データ!$E$3</f>
        <v>0</v>
      </c>
      <c r="FZ27" s="267" t="str">
        <f>IF($P27="○",参照データ!$E$4,"")</f>
        <v/>
      </c>
      <c r="GA27" s="19">
        <f>(SUM(COUNTIF($Q27:$U27,{"入門","初級"}))*参照データ!$E$9)+(SUM(COUNTIF($Q27:$U27,{"中級","上級"})*参照データ!$E$10))</f>
        <v>0</v>
      </c>
      <c r="GB27" s="19">
        <f>IFERROR(VLOOKUP($V27,参照データ!$D$9:$J$11,7,0),0)</f>
        <v>0</v>
      </c>
      <c r="GC27" s="19">
        <f>((COUNTIF($Y27:$AG27,"オープン"))*参照データ!$E$12)</f>
        <v>0</v>
      </c>
      <c r="GD27" s="19" t="str">
        <f>(IF($AI27="オープン",参照データ!$J$12,""))</f>
        <v/>
      </c>
      <c r="GE27" s="19">
        <f>(COUNTIF($AN27:$AU27,"○")*参照データ!$E$22)</f>
        <v>0</v>
      </c>
      <c r="GF27" s="19">
        <f>(COUNTIF($AV27:$BA27,"○")*参照データ!$I$22)</f>
        <v>0</v>
      </c>
      <c r="GI27" s="19">
        <f>((COUNTIF($Y27:$AG27,"選手権"))*参照データ!$E$13)</f>
        <v>0</v>
      </c>
      <c r="GJ27" s="19" t="str">
        <f>(IF($AI27="選手権",参照データ!$J$13,""))</f>
        <v/>
      </c>
      <c r="GK27" s="106">
        <f t="array" ref="GK27">SUM(IF(ISERROR(FY27:GJ27),0,(FY27:GJ27)))</f>
        <v>0</v>
      </c>
      <c r="GL27" s="19"/>
      <c r="GM27" s="19">
        <f t="shared" si="54"/>
        <v>0</v>
      </c>
      <c r="GN27" s="19">
        <f t="shared" si="55"/>
        <v>0</v>
      </c>
      <c r="GO27" s="19">
        <f t="shared" si="56"/>
        <v>0</v>
      </c>
      <c r="GP27" s="19">
        <f t="shared" si="21"/>
        <v>0</v>
      </c>
      <c r="GQ27" s="19">
        <f t="shared" si="57"/>
        <v>0</v>
      </c>
      <c r="GR27" s="19">
        <f t="shared" si="58"/>
        <v>0</v>
      </c>
      <c r="GS27" s="19">
        <f t="shared" si="59"/>
        <v>0</v>
      </c>
      <c r="GT27" s="19">
        <f t="shared" si="60"/>
        <v>0</v>
      </c>
      <c r="GU27" s="19">
        <f t="shared" si="61"/>
        <v>0</v>
      </c>
      <c r="GV27" t="str">
        <f t="shared" si="22"/>
        <v/>
      </c>
      <c r="GW27" t="str">
        <f t="shared" si="62"/>
        <v/>
      </c>
      <c r="GX27" t="str">
        <f t="shared" si="23"/>
        <v/>
      </c>
      <c r="GY27" t="str">
        <f t="shared" si="63"/>
        <v/>
      </c>
      <c r="GZ27" t="str">
        <f t="shared" si="24"/>
        <v/>
      </c>
    </row>
    <row r="28" spans="1:208" ht="18.75" customHeight="1" x14ac:dyDescent="0.15">
      <c r="A28">
        <v>17</v>
      </c>
      <c r="B28" s="15" t="str">
        <f>IF(D28="","",IF(D28="重複","",COUNTIF(B$12:$B27,"&gt;0")+1))</f>
        <v/>
      </c>
      <c r="C28" s="713"/>
      <c r="D28" s="185"/>
      <c r="E28" s="185"/>
      <c r="F28" s="36"/>
      <c r="G28" s="47"/>
      <c r="H28" s="402">
        <f t="shared" si="2"/>
        <v>0</v>
      </c>
      <c r="I28" s="201" t="str">
        <f>IF($BJ28=0,"",DATEDIF($BJ28,参照データ!$D$16,"Y"))</f>
        <v/>
      </c>
      <c r="J28" s="41"/>
      <c r="K28" s="41"/>
      <c r="L28" s="41"/>
      <c r="M28" s="41"/>
      <c r="N28" s="41"/>
      <c r="O28" s="49"/>
      <c r="P28" s="395"/>
      <c r="Q28" s="51"/>
      <c r="R28" s="289"/>
      <c r="S28" s="289"/>
      <c r="T28" s="289"/>
      <c r="U28" s="290"/>
      <c r="V28" s="292"/>
      <c r="W28" s="295"/>
      <c r="Y28" s="446"/>
      <c r="Z28" s="396" t="str">
        <f>IF($Y28="オープン",VLOOKUP($CO28,参照データ!$D$69:$M$86,9,0),IF($Y28="選手権",VLOOKUP($FC28,参照データ!$D$92:$O$121,10,0),""))</f>
        <v/>
      </c>
      <c r="AA28" s="446"/>
      <c r="AB28" s="666" t="str">
        <f>IF($AA28="オープン",VLOOKUP($CO28,参照データ!$D$69:$M$86,10,0),IF($AA28="選手権",VLOOKUP($FC28,参照データ!$D$92:$O$121,11,0),""))</f>
        <v/>
      </c>
      <c r="AC28" s="669"/>
      <c r="AD28" s="396" t="str">
        <f>IF($AC28="オープン",VLOOKUP($CO28,参照データ!$D$69:$M$86,10,0),IF($AC28="選手権",VLOOKUP($FC28,参照データ!$D$92:$O$121,11,0),""))</f>
        <v/>
      </c>
      <c r="AE28" s="446"/>
      <c r="AF28" s="396" t="str">
        <f>IF($AE28="オープン",VLOOKUP($CO28,参照データ!$D$69:$M$86,10,0),IF($AE28="選手権",VLOOKUP($FJ28,参照データ!$D$92:$O$121,12,0),""))</f>
        <v/>
      </c>
      <c r="AG28" s="446"/>
      <c r="AH28" s="396" t="str">
        <f>IF($AG28="オープン",VLOOKUP($CO28,参照データ!$D$69:$M$86,10,0),IF($AG28="選手権",VLOOKUP($FJ28,参照データ!$D$92:$O$121,12,0),""))</f>
        <v/>
      </c>
      <c r="AI28" s="446"/>
      <c r="AJ28" s="449"/>
      <c r="AK28" s="396" t="str">
        <f t="shared" si="3"/>
        <v/>
      </c>
      <c r="AL28" s="587"/>
      <c r="AM28" s="588" t="str">
        <f>IF($BJ28=0,"",DATEDIF($BJ28,参照データ!$D$17,"Y"))</f>
        <v/>
      </c>
      <c r="AN28" s="450"/>
      <c r="AO28" s="591" t="str">
        <f>IF(AN28="","",IF($BK28="男子",VLOOKUP($DI28,参照データ!$D$128:$M$145,10,FALSE),VLOOKUP($DH28,参照データ!$D$128:$M$145,10,FALSE)))</f>
        <v/>
      </c>
      <c r="AP28" s="450"/>
      <c r="AQ28" s="591" t="str">
        <f>IF(AP28="","",IF($BK28="男子",VLOOKUP($DI28,参照データ!$D$128:$M$145,10,FALSE),VLOOKUP($DH28,参照データ!$D$128:$M$145,10,FALSE)))</f>
        <v/>
      </c>
      <c r="AR28" s="450"/>
      <c r="AS28" s="591" t="str">
        <f>IF(AR28="","",IF($BK28="男子",VLOOKUP($DI28,参照データ!$D$128:$M$145,10,FALSE),VLOOKUP($DH28,参照データ!$D$128:$M$145,10,FALSE)))</f>
        <v/>
      </c>
      <c r="AT28" s="450"/>
      <c r="AU28" s="591" t="str">
        <f>IF(AT28="","",IF($BK28="男子",VLOOKUP($DI28,参照データ!$D$128:$M$145,10,FALSE),VLOOKUP($DH28,参照データ!$D$128:$M$145,10,FALSE)))</f>
        <v/>
      </c>
      <c r="AV28" s="448"/>
      <c r="AW28" s="448"/>
      <c r="AX28" s="585" t="str">
        <f t="shared" si="25"/>
        <v/>
      </c>
      <c r="AY28" s="448"/>
      <c r="AZ28" s="448"/>
      <c r="BA28" s="585" t="str">
        <f t="shared" si="83"/>
        <v/>
      </c>
      <c r="BB28" s="677"/>
      <c r="BC28" s="724"/>
      <c r="BD28" s="640"/>
      <c r="BE28" s="482"/>
      <c r="BF28" s="365"/>
      <c r="BG28" s="366"/>
      <c r="BJ28">
        <f t="shared" si="75"/>
        <v>0</v>
      </c>
      <c r="BK28" t="str">
        <f t="shared" si="65"/>
        <v/>
      </c>
      <c r="BL28" s="146"/>
      <c r="BO28" s="61" t="str">
        <f>IF($BJ28=0,"",IF(AND($I28&gt;=6,$I28&lt;=19),VLOOKUP($I28,参照データ!$B$28:$C$41,2,0),IF($I28&lt;6,6,19)))</f>
        <v/>
      </c>
      <c r="BP28" s="178" t="str">
        <f>IF($J28=$BI$12,VLOOKUP($BO28,参照データ!$C$28:$I$41,2,0),"")</f>
        <v/>
      </c>
      <c r="BQ28" s="169" t="str">
        <f>IF($K28=$BI$12,VLOOKUP($BO28,参照データ!$C$28:$I$41,3,0),"")</f>
        <v/>
      </c>
      <c r="BR28" s="169" t="str">
        <f>IF($L28=$BI$12,VLOOKUP($BO28,参照データ!$C$28:$I$41,4,0),"")</f>
        <v/>
      </c>
      <c r="BS28" s="169" t="str">
        <f>IF($M28=$BI$12,VLOOKUP($BO28,参照データ!$C$28:$I$41,5,0),"")</f>
        <v/>
      </c>
      <c r="BT28" s="169" t="str">
        <f>IF($N28=$BI$12,VLOOKUP($BO28,参照データ!$C$28:$I$41,6,0),"")</f>
        <v/>
      </c>
      <c r="BU28" s="179" t="str">
        <f>IF($O28=$BI$12,VLOOKUP($BO28,参照データ!$C$28:$I$41,7,0),"")</f>
        <v/>
      </c>
      <c r="BV28" s="178" t="str">
        <f>IF($J28=$BI$13,VLOOKUP($BO28,参照データ!$C$28:$I$41,2,0),"")</f>
        <v/>
      </c>
      <c r="BW28" s="169" t="str">
        <f>IF($K28=$BI$13,VLOOKUP($BO28,参照データ!$C$28:$I$41,3,0),"")</f>
        <v/>
      </c>
      <c r="BX28" s="169" t="str">
        <f>IF($L28=$BI$13,VLOOKUP($BO28,参照データ!$C$28:$I$41,4,0),"")</f>
        <v/>
      </c>
      <c r="BY28" s="169" t="str">
        <f>IF($M28=$BI$13,VLOOKUP($BO28,参照データ!$C$28:$I$41,5,0),"")</f>
        <v/>
      </c>
      <c r="BZ28" s="169" t="str">
        <f>IF($N28=$BI$13,VLOOKUP($BO28,参照データ!$C$28:$I$41,6,0),"")</f>
        <v/>
      </c>
      <c r="CA28" s="179" t="str">
        <f>IF($O28=$BI$13,VLOOKUP($BO28,参照データ!$C$28:$I$41,7,0),"")</f>
        <v/>
      </c>
      <c r="CB28" s="271" t="str">
        <f t="shared" si="26"/>
        <v/>
      </c>
      <c r="CC28" s="177" t="str">
        <f>IF($Q28="入門",VLOOKUP($BO28,参照データ!$C$47:$U$60,2,0),IF($Q28="初級",VLOOKUP($BO28,参照データ!$C$47:$U$60,3,0),IF($Q28="中級",VLOOKUP($BO28,参照データ!$C$47:$U$60,4,0),IF($Q28="上級",VLOOKUP($BO28,参照データ!$C$47:$U$60,5,0),""))))</f>
        <v/>
      </c>
      <c r="CD28" s="177" t="str">
        <f>IF($R28="初級",VLOOKUP($BO28,参照データ!$C$47:$U$60,6,0),IF($R28="中級",VLOOKUP($BO28,参照データ!$C$47:$U$60,7,0),IF($R28="上級",VLOOKUP($BO28,参照データ!$C$47:$U$60,8,0),"")))</f>
        <v/>
      </c>
      <c r="CE28" s="177" t="str">
        <f>IF($S28="初級",VLOOKUP($BO28,参照データ!$C$47:$U$60,9,0),IF($S28="上級",VLOOKUP($BO28,参照データ!$C$47:$U$60,10,0),""))</f>
        <v/>
      </c>
      <c r="CF28" s="177" t="str">
        <f>IF($T28="初級",VLOOKUP($BO28,参照データ!$C$47:$U$60,11,0),IF($T28="中級",VLOOKUP($BO28,参照データ!$C$47:$U$60,12,0),IF($T28="上級",VLOOKUP($BO28,参照データ!$C$47:$U$60,13,0),"")))</f>
        <v/>
      </c>
      <c r="CG28" s="177" t="str">
        <f>IF($U28="初級",VLOOKUP($BO28,参照データ!$C$47:$U$60,14,0),IF($U28="中級",VLOOKUP($BO28,参照データ!$C$47:$U$60,15,0),IF($U28="上級",VLOOKUP($BO28,参照データ!$C$47:$U$60,16,0),"")))</f>
        <v/>
      </c>
      <c r="CH28" s="55" t="str">
        <f t="shared" si="5"/>
        <v/>
      </c>
      <c r="CI28" s="55" t="str">
        <f>IF($V28="初級",VLOOKUP($BO28,参照データ!$C$47:$U$60,17,0),IF($V28="中級",VLOOKUP($BO28,参照データ!$C$47:$U$60,18,0),IF($V28="上級",VLOOKUP($BO28,参照データ!$C$47:$U$60,19,0),"")))</f>
        <v/>
      </c>
      <c r="CJ28" s="867">
        <v>9</v>
      </c>
      <c r="CK28" s="74" t="s">
        <v>252</v>
      </c>
      <c r="CL28" s="151" t="str">
        <f t="shared" si="6"/>
        <v/>
      </c>
      <c r="CM28" s="871" t="str">
        <f t="shared" ref="CM28" si="94">IF(OR($CL28="",$CL29=""),"",IF($CL28&gt;$CL29,$CL28,$CL29))</f>
        <v/>
      </c>
      <c r="CO28" s="61">
        <f>IF(AND($BJ28&gt;=参照データ!$C$71,$BJ28&lt;=参照データ!$C$69),1,IF(AND($BJ28&gt;=参照データ!$C$74,$BJ28&lt;=参照データ!$C$72),2,IF(AND($BJ28&gt;=参照データ!$C$77,$BJ28&lt;=参照データ!$C$75),3,IF(AND($BJ28&gt;=参照データ!$C$80,$BJ28&lt;=参照データ!$C$78),4,IF(AND($BJ28&gt;=参照データ!$C$83,$BJ28&lt;=参照データ!$C$81),5,IF(AND($BJ28&gt;0,$BJ28&lt;=参照データ!$C$84),6,""))))))</f>
        <v>5</v>
      </c>
      <c r="CP28" s="160" t="str">
        <f>IF($Y28="オープン",(VLOOKUP($CO28,参照データ!$D$69:$J$86,2,0)),"")</f>
        <v/>
      </c>
      <c r="CQ28" s="79" t="str">
        <f t="shared" si="27"/>
        <v/>
      </c>
      <c r="CR28" s="78" t="str">
        <f>IF($AA28="オープン",(VLOOKUP($CO28,参照データ!$D$69:$J$86,3,0)),"")</f>
        <v/>
      </c>
      <c r="CS28" s="79" t="str">
        <f t="shared" si="28"/>
        <v/>
      </c>
      <c r="CT28" s="78" t="str">
        <f>IF($AC28="オープン",(VLOOKUP($CO28,参照データ!$D$69:$J$86,4,0)),"")</f>
        <v/>
      </c>
      <c r="CU28" s="79" t="str">
        <f t="shared" si="29"/>
        <v/>
      </c>
      <c r="CV28" s="78" t="str">
        <f>IF($AE28="オープン",(VLOOKUP($CO28,参照データ!$D$69:$J$86,5,0)),"")</f>
        <v/>
      </c>
      <c r="CW28" s="79" t="str">
        <f t="shared" si="7"/>
        <v/>
      </c>
      <c r="CX28" s="78" t="str">
        <f>IF($AG28="オープン",(VLOOKUP($CO28,参照データ!$D$69:$J$86,6,0)),"")</f>
        <v/>
      </c>
      <c r="CY28" s="79" t="str">
        <f t="shared" si="30"/>
        <v/>
      </c>
      <c r="CZ28" s="38" t="str">
        <f t="shared" si="31"/>
        <v/>
      </c>
      <c r="DA28" s="37" t="str">
        <f t="shared" si="32"/>
        <v/>
      </c>
      <c r="DB28" s="79" t="str">
        <f t="shared" si="33"/>
        <v/>
      </c>
      <c r="DC28" s="857">
        <v>9</v>
      </c>
      <c r="DD28" s="87" t="s">
        <v>102</v>
      </c>
      <c r="DE28" s="88" t="str">
        <f t="shared" si="34"/>
        <v/>
      </c>
      <c r="DF28" s="859" t="e">
        <f>IF($DE28&gt;$DE29,VLOOKUP($DE28,参照データ!$D$69:$J$86,7,0),VLOOKUP($DE29,参照データ!$D$69:$J$86,7,0))</f>
        <v>#N/A</v>
      </c>
      <c r="DG28" s="350" t="str">
        <f>IFERROR(VLOOKUP($DF28,参照データ!$J$69:$M$86,4,0),"")</f>
        <v/>
      </c>
      <c r="DH28" s="523">
        <f>IF(AND($BJ28&gt;=参照データ!$C$130,$BJ28&lt;=参照データ!$C$128),1,IF(AND($BJ28&gt;=参照データ!$C$133,$BJ28&lt;=参照データ!$C$131),2,IF(AND($BJ28&gt;=参照データ!$C$139,$BJ28&lt;=参照データ!$C$137),3,IF(AND($BJ28&gt;0,$BJ28&lt;=参照データ!$C$140),4,""))))</f>
        <v>1</v>
      </c>
      <c r="DI28" s="523">
        <f t="shared" si="35"/>
        <v>7</v>
      </c>
      <c r="DJ28" s="523" t="str">
        <f t="shared" si="36"/>
        <v/>
      </c>
      <c r="DK28" s="524" t="str">
        <f>IF($AN28="","",IF(AND($AN28="○",$BK28="男子"),VLOOKUP($DI28,参照データ!$D$128:$J$145,3,FALSE),VLOOKUP($DH28,参照データ!$D$128:$J$145,3,FALSE)))</f>
        <v/>
      </c>
      <c r="DL28" s="525" t="str">
        <f t="shared" si="37"/>
        <v/>
      </c>
      <c r="DM28" s="524" t="str">
        <f>IF($AP28="","",IF(AND($AP28="○",$BK28="男子"),VLOOKUP($DI28,参照データ!$D$128:$J$145,4,FALSE),VLOOKUP($DH28,参照データ!$D$128:$J$145,4,FALSE)))</f>
        <v/>
      </c>
      <c r="DN28" s="525" t="str">
        <f t="shared" si="38"/>
        <v/>
      </c>
      <c r="DO28" s="524" t="str">
        <f>IF($AR28="","",IF(AND($AR28="○",$BK28="男子"),VLOOKUP($DI28,参照データ!$D$128:$J$145,5,FALSE),VLOOKUP($DH28,参照データ!$D$128:$J$145,5,FALSE)))</f>
        <v/>
      </c>
      <c r="DP28" s="525" t="str">
        <f t="shared" si="39"/>
        <v/>
      </c>
      <c r="DQ28" s="524" t="str">
        <f>IF($AT28="","",IF(AND($AT28="○",$BK28="男子"),VLOOKUP($DI28,参照データ!$D$128:$J$145,6,FALSE),VLOOKUP($DH28,参照データ!$D$128:$J$145,6,FALSE)))</f>
        <v/>
      </c>
      <c r="DR28" s="525" t="str">
        <f t="shared" si="40"/>
        <v/>
      </c>
      <c r="DS28" s="526" t="str">
        <f t="shared" si="41"/>
        <v/>
      </c>
      <c r="DT28" s="527" t="str">
        <f t="shared" si="42"/>
        <v/>
      </c>
      <c r="DU28" s="528" t="str">
        <f t="shared" si="43"/>
        <v/>
      </c>
      <c r="DV28" s="982">
        <v>9</v>
      </c>
      <c r="DW28" s="533" t="s">
        <v>102</v>
      </c>
      <c r="DX28" s="534" t="str">
        <f t="shared" si="92"/>
        <v/>
      </c>
      <c r="DY28" s="877" t="e">
        <f>IF($DX28&gt;$DX29,VLOOKUP($DX28,参照データ!$D$128:$K$145,7,0),VLOOKUP($DX29,参照データ!$D$128:$K$145,7,0))</f>
        <v>#N/A</v>
      </c>
      <c r="DZ28" s="692" t="str">
        <f>IFERROR(VLOOKUP($DY28,参照データ!$J$128:$N$145,5,0),"")</f>
        <v/>
      </c>
      <c r="EA28" s="526" t="str">
        <f t="shared" si="85"/>
        <v/>
      </c>
      <c r="EB28" s="527" t="str">
        <f t="shared" si="86"/>
        <v/>
      </c>
      <c r="EC28" s="528" t="str">
        <f t="shared" si="87"/>
        <v/>
      </c>
      <c r="ED28" s="982">
        <v>9</v>
      </c>
      <c r="EE28" s="533" t="s">
        <v>102</v>
      </c>
      <c r="EF28" s="533" t="str">
        <f t="shared" si="88"/>
        <v/>
      </c>
      <c r="EG28" s="534" t="str">
        <f>IF(SUM(EF28:EF29)&lt;24,"",IF(SUM(EF28:EF29)&gt;=36,3,2))</f>
        <v/>
      </c>
      <c r="EH28" s="877" t="e">
        <f>IF($EG28&gt;$EG29,VLOOKUP($EG28,参照データ!$D$128:$K$145,8,0),VLOOKUP($EG29,参照データ!$D$128:$K$145,8,0))</f>
        <v>#N/A</v>
      </c>
      <c r="EI28" s="527" t="str">
        <f>IFERROR(VLOOKUP($EH28,参照データ!$K$128:$N$145,4,0),"")</f>
        <v/>
      </c>
      <c r="EJ28" s="555" t="str">
        <f t="shared" si="13"/>
        <v/>
      </c>
      <c r="EK28" s="556" t="str">
        <f t="shared" si="44"/>
        <v/>
      </c>
      <c r="EL28" s="846"/>
      <c r="EM28" s="561" t="s">
        <v>775</v>
      </c>
      <c r="EN28" s="562" t="str">
        <f t="shared" si="45"/>
        <v/>
      </c>
      <c r="EO28" s="849"/>
      <c r="EP28" s="555" t="str">
        <f t="shared" si="14"/>
        <v/>
      </c>
      <c r="EQ28" s="556" t="str">
        <f t="shared" si="46"/>
        <v/>
      </c>
      <c r="ER28" s="846"/>
      <c r="ES28" s="561" t="s">
        <v>775</v>
      </c>
      <c r="ET28" s="562" t="str">
        <f t="shared" si="47"/>
        <v/>
      </c>
      <c r="EU28" s="849"/>
      <c r="EV28" s="38" t="str">
        <f t="shared" si="15"/>
        <v/>
      </c>
      <c r="EW28" s="552" t="str">
        <f t="shared" si="48"/>
        <v/>
      </c>
      <c r="EX28" s="833"/>
      <c r="EY28" s="559" t="s">
        <v>774</v>
      </c>
      <c r="EZ28" s="560" t="str">
        <f t="shared" si="49"/>
        <v/>
      </c>
      <c r="FA28" s="835"/>
      <c r="FB28" t="str">
        <f>IF($FC28="","",DATEDIF($BJ28,参照データ!$D$19,"Y"))</f>
        <v/>
      </c>
      <c r="FC28" s="298" t="str">
        <f>IFERROR(IF($BK28="男子",VLOOKUP($FJ28,参照データ!$D$92:$E$118,2,0),$FJ28),0)</f>
        <v/>
      </c>
      <c r="FD28" s="92" t="str">
        <f>IF($Y28="選手権",(VLOOKUP($FC28,参照データ!$D$92:$K$121,3,0)),"")</f>
        <v/>
      </c>
      <c r="FE28" s="93" t="str">
        <f t="shared" si="16"/>
        <v/>
      </c>
      <c r="FF28" s="92" t="str">
        <f>IF($AA28="選手権",(VLOOKUP($FC28,参照データ!$D$92:$K$121,4,0)),"")</f>
        <v/>
      </c>
      <c r="FG28" s="93" t="str">
        <f t="shared" si="17"/>
        <v/>
      </c>
      <c r="FH28" s="92" t="str">
        <f>IF($AC28="選手権",(VLOOKUP($FC28,参照データ!$D$92:$K$121,5,0)),"")</f>
        <v/>
      </c>
      <c r="FI28" s="93" t="str">
        <f t="shared" si="18"/>
        <v/>
      </c>
      <c r="FJ28" s="61" t="str">
        <f>IF(AND($BJ28&gt;=参照データ!$C$94,$BJ28&lt;=参照データ!$C$92),1,IF(AND($BJ28&gt;=参照データ!$C$97,$BJ28&lt;=参照データ!$C$95),2,IF(AND($BJ28&gt;=参照データ!$C$103,$BJ28&lt;=参照データ!$C$101),3,IF(AND($BJ28&gt;=参照データ!$C$109,$BJ28&lt;=参照データ!$C$107),4,IF(AND($BJ28&gt;=参照データ!$C$115,$BJ28&lt;=参照データ!$C$113),5,IF(AND($BJ28&gt;0,$BJ28&lt;=参照データ!$C$116),6,""))))))</f>
        <v/>
      </c>
      <c r="FK28" s="92" t="str">
        <f>IF($AE28="選手権",(VLOOKUP($FJ28,参照データ!$D$92:$K$121,6,0)),"")</f>
        <v/>
      </c>
      <c r="FL28" s="93" t="str">
        <f t="shared" si="19"/>
        <v/>
      </c>
      <c r="FM28" s="92" t="str">
        <f>IF($AG28="選手権",(VLOOKUP($FJ28,参照データ!$D$92:$K$121,7,0)),"")</f>
        <v/>
      </c>
      <c r="FN28" s="93" t="str">
        <f t="shared" si="50"/>
        <v/>
      </c>
      <c r="FO28" s="38" t="str">
        <f t="shared" si="51"/>
        <v/>
      </c>
      <c r="FP28" s="37" t="str">
        <f t="shared" si="52"/>
        <v/>
      </c>
      <c r="FQ28" s="93" t="str">
        <f t="shared" si="53"/>
        <v/>
      </c>
      <c r="FR28" s="979">
        <v>9</v>
      </c>
      <c r="FS28" s="101" t="s">
        <v>102</v>
      </c>
      <c r="FT28" s="102" t="str">
        <f t="shared" si="20"/>
        <v/>
      </c>
      <c r="FU28" s="980" t="e">
        <f>IF($FT28&gt;$FT29,VLOOKUP($FT28,参照データ!$D$92:$K$121,8,0),VLOOKUP($FT29,参照データ!$D$92:$K$121,8,0))</f>
        <v>#N/A</v>
      </c>
      <c r="FV28" s="356" t="str">
        <f>IFERROR(VLOOKUP($FU28,参照データ!$K$92:$O$121,5,0),"")</f>
        <v/>
      </c>
      <c r="FY28" s="40">
        <f>(COUNTIF($J28:$O28,"&lt;&gt;"))*参照データ!$E$3</f>
        <v>0</v>
      </c>
      <c r="FZ28" s="267" t="str">
        <f>IF($P28="○",参照データ!$E$4,"")</f>
        <v/>
      </c>
      <c r="GA28" s="19">
        <f>(SUM(COUNTIF($Q28:$U28,{"入門","初級"}))*参照データ!$E$9)+(SUM(COUNTIF($Q28:$U28,{"中級","上級"})*参照データ!$E$10))</f>
        <v>0</v>
      </c>
      <c r="GB28" s="19">
        <f>IFERROR(VLOOKUP($V28,参照データ!$D$9:$J$11,7,0),0)</f>
        <v>0</v>
      </c>
      <c r="GC28" s="19">
        <f>((COUNTIF($Y28:$AG28,"オープン"))*参照データ!$E$12)</f>
        <v>0</v>
      </c>
      <c r="GD28" s="19" t="str">
        <f>(IF($AI28="オープン",参照データ!$J$12,""))</f>
        <v/>
      </c>
      <c r="GE28" s="19">
        <f>(COUNTIF($AN28:$AU28,"○")*参照データ!$E$22)</f>
        <v>0</v>
      </c>
      <c r="GF28" s="19">
        <f>(COUNTIF($AV28:$BA28,"○")*参照データ!$I$22)</f>
        <v>0</v>
      </c>
      <c r="GI28" s="19">
        <f>((COUNTIF($Y28:$AG28,"選手権"))*参照データ!$E$13)</f>
        <v>0</v>
      </c>
      <c r="GJ28" s="19" t="str">
        <f>(IF($AI28="選手権",参照データ!$J$13,""))</f>
        <v/>
      </c>
      <c r="GK28" s="106">
        <f t="array" ref="GK28">SUM(IF(ISERROR(FY28:GJ28),0,(FY28:GJ28)))</f>
        <v>0</v>
      </c>
      <c r="GL28" s="19"/>
      <c r="GM28" s="19">
        <f t="shared" si="54"/>
        <v>0</v>
      </c>
      <c r="GN28" s="19">
        <f t="shared" si="55"/>
        <v>0</v>
      </c>
      <c r="GO28" s="19">
        <f t="shared" si="56"/>
        <v>0</v>
      </c>
      <c r="GP28" s="19">
        <f t="shared" si="21"/>
        <v>0</v>
      </c>
      <c r="GQ28" s="19">
        <f t="shared" si="57"/>
        <v>0</v>
      </c>
      <c r="GR28" s="19">
        <f t="shared" si="58"/>
        <v>0</v>
      </c>
      <c r="GS28" s="19">
        <f t="shared" si="59"/>
        <v>0</v>
      </c>
      <c r="GT28" s="19">
        <f t="shared" si="60"/>
        <v>0</v>
      </c>
      <c r="GU28" s="19">
        <f t="shared" si="61"/>
        <v>0</v>
      </c>
      <c r="GV28" t="str">
        <f t="shared" si="22"/>
        <v/>
      </c>
      <c r="GW28" t="str">
        <f t="shared" si="62"/>
        <v/>
      </c>
      <c r="GX28" t="str">
        <f t="shared" si="23"/>
        <v/>
      </c>
      <c r="GY28" t="str">
        <f t="shared" si="63"/>
        <v/>
      </c>
      <c r="GZ28" t="str">
        <f t="shared" si="24"/>
        <v/>
      </c>
    </row>
    <row r="29" spans="1:208" ht="18.75" customHeight="1" x14ac:dyDescent="0.15">
      <c r="A29">
        <v>18</v>
      </c>
      <c r="B29" s="15" t="str">
        <f>IF(D29="","",IF(D29="重複","",COUNTIF(B$12:$B28,"&gt;0")+1))</f>
        <v/>
      </c>
      <c r="C29" s="713"/>
      <c r="D29" s="185"/>
      <c r="E29" s="185"/>
      <c r="F29" s="36"/>
      <c r="G29" s="47"/>
      <c r="H29" s="402">
        <f t="shared" si="2"/>
        <v>0</v>
      </c>
      <c r="I29" s="201" t="str">
        <f>IF($BJ29=0,"",DATEDIF($BJ29,参照データ!$D$16,"Y"))</f>
        <v/>
      </c>
      <c r="J29" s="41"/>
      <c r="K29" s="41"/>
      <c r="L29" s="41"/>
      <c r="M29" s="41"/>
      <c r="N29" s="41"/>
      <c r="O29" s="49"/>
      <c r="P29" s="395"/>
      <c r="Q29" s="51"/>
      <c r="R29" s="289"/>
      <c r="S29" s="289"/>
      <c r="T29" s="289"/>
      <c r="U29" s="290"/>
      <c r="V29" s="292"/>
      <c r="W29" s="295"/>
      <c r="Y29" s="446"/>
      <c r="Z29" s="396" t="str">
        <f>IF($Y29="オープン",VLOOKUP($CO29,参照データ!$D$69:$M$86,9,0),IF($Y29="選手権",VLOOKUP($FC29,参照データ!$D$92:$O$121,10,0),""))</f>
        <v/>
      </c>
      <c r="AA29" s="446"/>
      <c r="AB29" s="666" t="str">
        <f>IF($AA29="オープン",VLOOKUP($CO29,参照データ!$D$69:$M$86,10,0),IF($AA29="選手権",VLOOKUP($FC29,参照データ!$D$92:$O$121,11,0),""))</f>
        <v/>
      </c>
      <c r="AC29" s="669"/>
      <c r="AD29" s="396" t="str">
        <f>IF($AC29="オープン",VLOOKUP($CO29,参照データ!$D$69:$M$86,10,0),IF($AC29="選手権",VLOOKUP($FC29,参照データ!$D$92:$O$121,11,0),""))</f>
        <v/>
      </c>
      <c r="AE29" s="446"/>
      <c r="AF29" s="396" t="str">
        <f>IF($AE29="オープン",VLOOKUP($CO29,参照データ!$D$69:$M$86,10,0),IF($AE29="選手権",VLOOKUP($FJ29,参照データ!$D$92:$O$121,12,0),""))</f>
        <v/>
      </c>
      <c r="AG29" s="446"/>
      <c r="AH29" s="396" t="str">
        <f>IF($AG29="オープン",VLOOKUP($CO29,参照データ!$D$69:$M$86,10,0),IF($AG29="選手権",VLOOKUP($FJ29,参照データ!$D$92:$O$121,12,0),""))</f>
        <v/>
      </c>
      <c r="AI29" s="446"/>
      <c r="AJ29" s="449"/>
      <c r="AK29" s="396" t="str">
        <f t="shared" si="3"/>
        <v/>
      </c>
      <c r="AL29" s="587"/>
      <c r="AM29" s="588" t="str">
        <f>IF($BJ29=0,"",DATEDIF($BJ29,参照データ!$D$17,"Y"))</f>
        <v/>
      </c>
      <c r="AN29" s="450"/>
      <c r="AO29" s="591" t="str">
        <f>IF(AN29="","",IF($BK29="男子",VLOOKUP($DI29,参照データ!$D$128:$M$145,10,FALSE),VLOOKUP($DH29,参照データ!$D$128:$M$145,10,FALSE)))</f>
        <v/>
      </c>
      <c r="AP29" s="450"/>
      <c r="AQ29" s="591" t="str">
        <f>IF(AP29="","",IF($BK29="男子",VLOOKUP($DI29,参照データ!$D$128:$M$145,10,FALSE),VLOOKUP($DH29,参照データ!$D$128:$M$145,10,FALSE)))</f>
        <v/>
      </c>
      <c r="AR29" s="450"/>
      <c r="AS29" s="591" t="str">
        <f>IF(AR29="","",IF($BK29="男子",VLOOKUP($DI29,参照データ!$D$128:$M$145,10,FALSE),VLOOKUP($DH29,参照データ!$D$128:$M$145,10,FALSE)))</f>
        <v/>
      </c>
      <c r="AT29" s="450"/>
      <c r="AU29" s="591" t="str">
        <f>IF(AT29="","",IF($BK29="男子",VLOOKUP($DI29,参照データ!$D$128:$M$145,10,FALSE),VLOOKUP($DH29,参照データ!$D$128:$M$145,10,FALSE)))</f>
        <v/>
      </c>
      <c r="AV29" s="448"/>
      <c r="AW29" s="448"/>
      <c r="AX29" s="585" t="str">
        <f t="shared" si="25"/>
        <v/>
      </c>
      <c r="AY29" s="448"/>
      <c r="AZ29" s="448"/>
      <c r="BA29" s="585" t="str">
        <f t="shared" si="83"/>
        <v/>
      </c>
      <c r="BB29" s="678"/>
      <c r="BC29" s="725"/>
      <c r="BD29" s="641"/>
      <c r="BE29" s="482"/>
      <c r="BF29" s="365"/>
      <c r="BG29" s="366"/>
      <c r="BJ29">
        <f t="shared" si="75"/>
        <v>0</v>
      </c>
      <c r="BK29" t="str">
        <f t="shared" si="65"/>
        <v/>
      </c>
      <c r="BL29" s="146"/>
      <c r="BO29" s="61" t="str">
        <f>IF($BJ29=0,"",IF(AND($I29&gt;=6,$I29&lt;=19),VLOOKUP($I29,参照データ!$B$28:$C$41,2,0),IF($I29&lt;6,6,19)))</f>
        <v/>
      </c>
      <c r="BP29" s="178" t="str">
        <f>IF($J29=$BI$12,VLOOKUP($BO29,参照データ!$C$28:$I$41,2,0),"")</f>
        <v/>
      </c>
      <c r="BQ29" s="169" t="str">
        <f>IF($K29=$BI$12,VLOOKUP($BO29,参照データ!$C$28:$I$41,3,0),"")</f>
        <v/>
      </c>
      <c r="BR29" s="169" t="str">
        <f>IF($L29=$BI$12,VLOOKUP($BO29,参照データ!$C$28:$I$41,4,0),"")</f>
        <v/>
      </c>
      <c r="BS29" s="169" t="str">
        <f>IF($M29=$BI$12,VLOOKUP($BO29,参照データ!$C$28:$I$41,5,0),"")</f>
        <v/>
      </c>
      <c r="BT29" s="169" t="str">
        <f>IF($N29=$BI$12,VLOOKUP($BO29,参照データ!$C$28:$I$41,6,0),"")</f>
        <v/>
      </c>
      <c r="BU29" s="179" t="str">
        <f>IF($O29=$BI$12,VLOOKUP($BO29,参照データ!$C$28:$I$41,7,0),"")</f>
        <v/>
      </c>
      <c r="BV29" s="178" t="str">
        <f>IF($J29=$BI$13,VLOOKUP($BO29,参照データ!$C$28:$I$41,2,0),"")</f>
        <v/>
      </c>
      <c r="BW29" s="169" t="str">
        <f>IF($K29=$BI$13,VLOOKUP($BO29,参照データ!$C$28:$I$41,3,0),"")</f>
        <v/>
      </c>
      <c r="BX29" s="169" t="str">
        <f>IF($L29=$BI$13,VLOOKUP($BO29,参照データ!$C$28:$I$41,4,0),"")</f>
        <v/>
      </c>
      <c r="BY29" s="169" t="str">
        <f>IF($M29=$BI$13,VLOOKUP($BO29,参照データ!$C$28:$I$41,5,0),"")</f>
        <v/>
      </c>
      <c r="BZ29" s="169" t="str">
        <f>IF($N29=$BI$13,VLOOKUP($BO29,参照データ!$C$28:$I$41,6,0),"")</f>
        <v/>
      </c>
      <c r="CA29" s="179" t="str">
        <f>IF($O29=$BI$13,VLOOKUP($BO29,参照データ!$C$28:$I$41,7,0),"")</f>
        <v/>
      </c>
      <c r="CB29" s="271" t="str">
        <f t="shared" si="26"/>
        <v/>
      </c>
      <c r="CC29" s="177" t="str">
        <f>IF($Q29="入門",VLOOKUP($BO29,参照データ!$C$47:$U$60,2,0),IF($Q29="初級",VLOOKUP($BO29,参照データ!$C$47:$U$60,3,0),IF($Q29="中級",VLOOKUP($BO29,参照データ!$C$47:$U$60,4,0),IF($Q29="上級",VLOOKUP($BO29,参照データ!$C$47:$U$60,5,0),""))))</f>
        <v/>
      </c>
      <c r="CD29" s="177" t="str">
        <f>IF($R29="初級",VLOOKUP($BO29,参照データ!$C$47:$U$60,6,0),IF($R29="中級",VLOOKUP($BO29,参照データ!$C$47:$U$60,7,0),IF($R29="上級",VLOOKUP($BO29,参照データ!$C$47:$U$60,8,0),"")))</f>
        <v/>
      </c>
      <c r="CE29" s="177" t="str">
        <f>IF($S29="初級",VLOOKUP($BO29,参照データ!$C$47:$U$60,9,0),IF($S29="上級",VLOOKUP($BO29,参照データ!$C$47:$U$60,10,0),""))</f>
        <v/>
      </c>
      <c r="CF29" s="177" t="str">
        <f>IF($T29="初級",VLOOKUP($BO29,参照データ!$C$47:$U$60,11,0),IF($T29="中級",VLOOKUP($BO29,参照データ!$C$47:$U$60,12,0),IF($T29="上級",VLOOKUP($BO29,参照データ!$C$47:$U$60,13,0),"")))</f>
        <v/>
      </c>
      <c r="CG29" s="177" t="str">
        <f>IF($U29="初級",VLOOKUP($BO29,参照データ!$C$47:$U$60,14,0),IF($U29="中級",VLOOKUP($BO29,参照データ!$C$47:$U$60,15,0),IF($U29="上級",VLOOKUP($BO29,参照データ!$C$47:$U$60,16,0),"")))</f>
        <v/>
      </c>
      <c r="CH29" s="55" t="str">
        <f t="shared" si="5"/>
        <v/>
      </c>
      <c r="CI29" s="55" t="str">
        <f>IF($V29="初級",VLOOKUP($BO29,参照データ!$C$47:$U$60,17,0),IF($V29="中級",VLOOKUP($BO29,参照データ!$C$47:$U$60,18,0),IF($V29="上級",VLOOKUP($BO29,参照データ!$C$47:$U$60,19,0),"")))</f>
        <v/>
      </c>
      <c r="CJ29" s="868"/>
      <c r="CK29" s="73" t="s">
        <v>253</v>
      </c>
      <c r="CL29" s="150" t="str">
        <f t="shared" si="6"/>
        <v/>
      </c>
      <c r="CM29" s="872"/>
      <c r="CO29" s="61">
        <f>IF(AND($BJ29&gt;=参照データ!$C$71,$BJ29&lt;=参照データ!$C$69),1,IF(AND($BJ29&gt;=参照データ!$C$74,$BJ29&lt;=参照データ!$C$72),2,IF(AND($BJ29&gt;=参照データ!$C$77,$BJ29&lt;=参照データ!$C$75),3,IF(AND($BJ29&gt;=参照データ!$C$80,$BJ29&lt;=参照データ!$C$78),4,IF(AND($BJ29&gt;=参照データ!$C$83,$BJ29&lt;=参照データ!$C$81),5,IF(AND($BJ29&gt;0,$BJ29&lt;=参照データ!$C$84),6,""))))))</f>
        <v>5</v>
      </c>
      <c r="CP29" s="160" t="str">
        <f>IF($Y29="オープン",(VLOOKUP($CO29,参照データ!$D$69:$J$86,2,0)),"")</f>
        <v/>
      </c>
      <c r="CQ29" s="79" t="str">
        <f t="shared" si="27"/>
        <v/>
      </c>
      <c r="CR29" s="78" t="str">
        <f>IF($AA29="オープン",(VLOOKUP($CO29,参照データ!$D$69:$J$86,3,0)),"")</f>
        <v/>
      </c>
      <c r="CS29" s="79" t="str">
        <f t="shared" si="28"/>
        <v/>
      </c>
      <c r="CT29" s="78" t="str">
        <f>IF($AC29="オープン",(VLOOKUP($CO29,参照データ!$D$69:$J$86,4,0)),"")</f>
        <v/>
      </c>
      <c r="CU29" s="79" t="str">
        <f t="shared" si="29"/>
        <v/>
      </c>
      <c r="CV29" s="78" t="str">
        <f>IF($AE29="オープン",(VLOOKUP($CO29,参照データ!$D$69:$J$86,5,0)),"")</f>
        <v/>
      </c>
      <c r="CW29" s="79" t="str">
        <f t="shared" si="7"/>
        <v/>
      </c>
      <c r="CX29" s="78" t="str">
        <f>IF($AG29="オープン",(VLOOKUP($CO29,参照データ!$D$69:$J$86,6,0)),"")</f>
        <v/>
      </c>
      <c r="CY29" s="79" t="str">
        <f t="shared" si="30"/>
        <v/>
      </c>
      <c r="CZ29" s="38" t="str">
        <f t="shared" si="31"/>
        <v/>
      </c>
      <c r="DA29" s="37" t="str">
        <f t="shared" si="32"/>
        <v/>
      </c>
      <c r="DB29" s="79" t="str">
        <f t="shared" si="33"/>
        <v/>
      </c>
      <c r="DC29" s="858"/>
      <c r="DD29" s="85" t="s">
        <v>103</v>
      </c>
      <c r="DE29" s="86" t="str">
        <f t="shared" si="34"/>
        <v/>
      </c>
      <c r="DF29" s="860"/>
      <c r="DG29" s="350" t="str">
        <f t="shared" ref="DG29" si="95">$DG28</f>
        <v/>
      </c>
      <c r="DH29" s="523">
        <f>IF(AND($BJ29&gt;=参照データ!$C$130,$BJ29&lt;=参照データ!$C$128),1,IF(AND($BJ29&gt;=参照データ!$C$133,$BJ29&lt;=参照データ!$C$131),2,IF(AND($BJ29&gt;=参照データ!$C$139,$BJ29&lt;=参照データ!$C$137),3,IF(AND($BJ29&gt;0,$BJ29&lt;=参照データ!$C$140),4,""))))</f>
        <v>1</v>
      </c>
      <c r="DI29" s="523">
        <f t="shared" si="35"/>
        <v>7</v>
      </c>
      <c r="DJ29" s="523" t="str">
        <f t="shared" si="36"/>
        <v/>
      </c>
      <c r="DK29" s="524" t="str">
        <f>IF($AN29="","",IF(AND($AN29="○",$BK29="男子"),VLOOKUP($DI29,参照データ!$D$128:$J$145,3,FALSE),VLOOKUP($DH29,参照データ!$D$128:$J$145,3,FALSE)))</f>
        <v/>
      </c>
      <c r="DL29" s="525" t="str">
        <f t="shared" si="37"/>
        <v/>
      </c>
      <c r="DM29" s="524" t="str">
        <f>IF($AP29="","",IF(AND($AP29="○",$BK29="男子"),VLOOKUP($DI29,参照データ!$D$128:$J$145,4,FALSE),VLOOKUP($DH29,参照データ!$D$128:$J$145,4,FALSE)))</f>
        <v/>
      </c>
      <c r="DN29" s="525" t="str">
        <f t="shared" si="38"/>
        <v/>
      </c>
      <c r="DO29" s="524" t="str">
        <f>IF($AR29="","",IF(AND($AR29="○",$BK29="男子"),VLOOKUP($DI29,参照データ!$D$128:$J$145,5,FALSE),VLOOKUP($DH29,参照データ!$D$128:$J$145,5,FALSE)))</f>
        <v/>
      </c>
      <c r="DP29" s="525" t="str">
        <f t="shared" si="39"/>
        <v/>
      </c>
      <c r="DQ29" s="524" t="str">
        <f>IF($AT29="","",IF(AND($AT29="○",$BK29="男子"),VLOOKUP($DI29,参照データ!$D$128:$J$145,6,FALSE),VLOOKUP($DH29,参照データ!$D$128:$J$145,6,FALSE)))</f>
        <v/>
      </c>
      <c r="DR29" s="525" t="str">
        <f t="shared" si="40"/>
        <v/>
      </c>
      <c r="DS29" s="526" t="str">
        <f t="shared" si="41"/>
        <v/>
      </c>
      <c r="DT29" s="527" t="str">
        <f t="shared" si="42"/>
        <v/>
      </c>
      <c r="DU29" s="528" t="str">
        <f t="shared" si="43"/>
        <v/>
      </c>
      <c r="DV29" s="983"/>
      <c r="DW29" s="531" t="s">
        <v>103</v>
      </c>
      <c r="DX29" s="532" t="str">
        <f t="shared" si="92"/>
        <v/>
      </c>
      <c r="DY29" s="994"/>
      <c r="DZ29" s="692" t="str">
        <f>$DZ28</f>
        <v/>
      </c>
      <c r="EA29" s="526" t="str">
        <f t="shared" si="85"/>
        <v/>
      </c>
      <c r="EB29" s="527" t="str">
        <f t="shared" si="86"/>
        <v/>
      </c>
      <c r="EC29" s="528" t="str">
        <f t="shared" si="87"/>
        <v/>
      </c>
      <c r="ED29" s="983"/>
      <c r="EE29" s="531" t="s">
        <v>103</v>
      </c>
      <c r="EF29" s="531" t="str">
        <f t="shared" si="88"/>
        <v/>
      </c>
      <c r="EG29" s="532" t="str">
        <f>IF(SUM(EF28:EF29)&lt;24,"",IF(SUM(EF28:EF29)&gt;=36,3,2))</f>
        <v/>
      </c>
      <c r="EH29" s="994"/>
      <c r="EI29" s="527" t="str">
        <f>$EI28</f>
        <v/>
      </c>
      <c r="EJ29" s="555" t="str">
        <f t="shared" si="13"/>
        <v/>
      </c>
      <c r="EK29" s="556" t="str">
        <f t="shared" si="44"/>
        <v/>
      </c>
      <c r="EL29" s="846"/>
      <c r="EM29" s="561" t="s">
        <v>777</v>
      </c>
      <c r="EN29" s="562" t="str">
        <f t="shared" si="45"/>
        <v/>
      </c>
      <c r="EO29" s="849"/>
      <c r="EP29" s="555" t="str">
        <f t="shared" si="14"/>
        <v/>
      </c>
      <c r="EQ29" s="556" t="str">
        <f t="shared" si="46"/>
        <v/>
      </c>
      <c r="ER29" s="846"/>
      <c r="ES29" s="561" t="s">
        <v>777</v>
      </c>
      <c r="ET29" s="562" t="str">
        <f t="shared" si="47"/>
        <v/>
      </c>
      <c r="EU29" s="849"/>
      <c r="EV29" s="38" t="str">
        <f t="shared" si="15"/>
        <v/>
      </c>
      <c r="EW29" s="552" t="str">
        <f t="shared" si="48"/>
        <v/>
      </c>
      <c r="EX29" s="833"/>
      <c r="EY29" s="559" t="s">
        <v>776</v>
      </c>
      <c r="EZ29" s="560" t="str">
        <f t="shared" si="49"/>
        <v/>
      </c>
      <c r="FA29" s="835"/>
      <c r="FB29" t="str">
        <f>IF($FC29="","",DATEDIF($BJ29,参照データ!$D$19,"Y"))</f>
        <v/>
      </c>
      <c r="FC29" s="298" t="str">
        <f>IFERROR(IF($BK29="男子",VLOOKUP($FJ29,参照データ!$D$92:$E$118,2,0),$FJ29),0)</f>
        <v/>
      </c>
      <c r="FD29" s="92" t="str">
        <f>IF($Y29="選手権",(VLOOKUP($FC29,参照データ!$D$92:$K$121,3,0)),"")</f>
        <v/>
      </c>
      <c r="FE29" s="93" t="str">
        <f t="shared" si="16"/>
        <v/>
      </c>
      <c r="FF29" s="92" t="str">
        <f>IF($AA29="選手権",(VLOOKUP($FC29,参照データ!$D$92:$K$121,4,0)),"")</f>
        <v/>
      </c>
      <c r="FG29" s="93" t="str">
        <f t="shared" si="17"/>
        <v/>
      </c>
      <c r="FH29" s="92" t="str">
        <f>IF($AC29="選手権",(VLOOKUP($FC29,参照データ!$D$92:$K$121,5,0)),"")</f>
        <v/>
      </c>
      <c r="FI29" s="93" t="str">
        <f t="shared" si="18"/>
        <v/>
      </c>
      <c r="FJ29" s="61" t="str">
        <f>IF(AND($BJ29&gt;=参照データ!$C$94,$BJ29&lt;=参照データ!$C$92),1,IF(AND($BJ29&gt;=参照データ!$C$97,$BJ29&lt;=参照データ!$C$95),2,IF(AND($BJ29&gt;=参照データ!$C$103,$BJ29&lt;=参照データ!$C$101),3,IF(AND($BJ29&gt;=参照データ!$C$109,$BJ29&lt;=参照データ!$C$107),4,IF(AND($BJ29&gt;=参照データ!$C$115,$BJ29&lt;=参照データ!$C$113),5,IF(AND($BJ29&gt;0,$BJ29&lt;=参照データ!$C$116),6,""))))))</f>
        <v/>
      </c>
      <c r="FK29" s="92" t="str">
        <f>IF($AE29="選手権",(VLOOKUP($FJ29,参照データ!$D$92:$K$121,6,0)),"")</f>
        <v/>
      </c>
      <c r="FL29" s="93" t="str">
        <f t="shared" si="19"/>
        <v/>
      </c>
      <c r="FM29" s="92" t="str">
        <f>IF($AG29="選手権",(VLOOKUP($FJ29,参照データ!$D$92:$K$121,7,0)),"")</f>
        <v/>
      </c>
      <c r="FN29" s="93" t="str">
        <f t="shared" si="50"/>
        <v/>
      </c>
      <c r="FO29" s="38" t="str">
        <f t="shared" si="51"/>
        <v/>
      </c>
      <c r="FP29" s="37" t="str">
        <f t="shared" si="52"/>
        <v/>
      </c>
      <c r="FQ29" s="93" t="str">
        <f t="shared" si="53"/>
        <v/>
      </c>
      <c r="FR29" s="976"/>
      <c r="FS29" s="99" t="s">
        <v>103</v>
      </c>
      <c r="FT29" s="100" t="str">
        <f t="shared" si="20"/>
        <v/>
      </c>
      <c r="FU29" s="978"/>
      <c r="FV29" s="356" t="str">
        <f t="shared" ref="FV29" si="96">$FV28</f>
        <v/>
      </c>
      <c r="FY29" s="40">
        <f>(COUNTIF($J29:$O29,"&lt;&gt;"))*参照データ!$E$3</f>
        <v>0</v>
      </c>
      <c r="FZ29" s="267" t="str">
        <f>IF($P29="○",参照データ!$E$4,"")</f>
        <v/>
      </c>
      <c r="GA29" s="19">
        <f>(SUM(COUNTIF($Q29:$U29,{"入門","初級"}))*参照データ!$E$9)+(SUM(COUNTIF($Q29:$U29,{"中級","上級"})*参照データ!$E$10))</f>
        <v>0</v>
      </c>
      <c r="GB29" s="19">
        <f>IFERROR(VLOOKUP($V29,参照データ!$D$9:$J$11,7,0),0)</f>
        <v>0</v>
      </c>
      <c r="GC29" s="19">
        <f>((COUNTIF($Y29:$AG29,"オープン"))*参照データ!$E$12)</f>
        <v>0</v>
      </c>
      <c r="GD29" s="19" t="str">
        <f>(IF($AI29="オープン",参照データ!$J$12,""))</f>
        <v/>
      </c>
      <c r="GE29" s="19">
        <f>(COUNTIF($AN29:$AU29,"○")*参照データ!$E$22)</f>
        <v>0</v>
      </c>
      <c r="GF29" s="19">
        <f>(COUNTIF($AV29:$BA29,"○")*参照データ!$I$22)</f>
        <v>0</v>
      </c>
      <c r="GI29" s="19">
        <f>((COUNTIF($Y29:$AG29,"選手権"))*参照データ!$E$13)</f>
        <v>0</v>
      </c>
      <c r="GJ29" s="19" t="str">
        <f>(IF($AI29="選手権",参照データ!$J$13,""))</f>
        <v/>
      </c>
      <c r="GK29" s="106">
        <f t="array" ref="GK29">SUM(IF(ISERROR(FY29:GJ29),0,(FY29:GJ29)))</f>
        <v>0</v>
      </c>
      <c r="GL29" s="19"/>
      <c r="GM29" s="19">
        <f t="shared" si="54"/>
        <v>0</v>
      </c>
      <c r="GN29" s="19">
        <f t="shared" si="55"/>
        <v>0</v>
      </c>
      <c r="GO29" s="19">
        <f t="shared" si="56"/>
        <v>0</v>
      </c>
      <c r="GP29" s="19">
        <f t="shared" si="21"/>
        <v>0</v>
      </c>
      <c r="GQ29" s="19">
        <f t="shared" si="57"/>
        <v>0</v>
      </c>
      <c r="GR29" s="19">
        <f t="shared" si="58"/>
        <v>0</v>
      </c>
      <c r="GS29" s="19">
        <f t="shared" si="59"/>
        <v>0</v>
      </c>
      <c r="GT29" s="19">
        <f t="shared" si="60"/>
        <v>0</v>
      </c>
      <c r="GU29" s="19">
        <f t="shared" si="61"/>
        <v>0</v>
      </c>
      <c r="GV29" t="str">
        <f t="shared" si="22"/>
        <v/>
      </c>
      <c r="GW29" t="str">
        <f t="shared" si="62"/>
        <v/>
      </c>
      <c r="GX29" t="str">
        <f t="shared" si="23"/>
        <v/>
      </c>
      <c r="GY29" t="str">
        <f t="shared" si="63"/>
        <v/>
      </c>
      <c r="GZ29" t="str">
        <f t="shared" si="24"/>
        <v/>
      </c>
    </row>
    <row r="30" spans="1:208" ht="18.75" customHeight="1" x14ac:dyDescent="0.15">
      <c r="A30">
        <v>19</v>
      </c>
      <c r="B30" s="15" t="str">
        <f>IF(D30="","",IF(D30="重複","",COUNTIF(B$12:$B29,"&gt;0")+1))</f>
        <v/>
      </c>
      <c r="C30" s="713"/>
      <c r="D30" s="185"/>
      <c r="E30" s="185"/>
      <c r="F30" s="36"/>
      <c r="G30" s="47"/>
      <c r="H30" s="402">
        <f t="shared" si="2"/>
        <v>0</v>
      </c>
      <c r="I30" s="201" t="str">
        <f>IF($BJ30=0,"",DATEDIF($BJ30,参照データ!$D$16,"Y"))</f>
        <v/>
      </c>
      <c r="J30" s="41"/>
      <c r="K30" s="41"/>
      <c r="L30" s="41"/>
      <c r="M30" s="41"/>
      <c r="N30" s="41"/>
      <c r="O30" s="49"/>
      <c r="P30" s="395"/>
      <c r="Q30" s="51"/>
      <c r="R30" s="289"/>
      <c r="S30" s="289"/>
      <c r="T30" s="289"/>
      <c r="U30" s="290"/>
      <c r="V30" s="293"/>
      <c r="W30" s="295"/>
      <c r="Y30" s="446"/>
      <c r="Z30" s="396" t="str">
        <f>IF($Y30="オープン",VLOOKUP($CO30,参照データ!$D$69:$M$86,9,0),IF($Y30="選手権",VLOOKUP($FC30,参照データ!$D$92:$O$121,10,0),""))</f>
        <v/>
      </c>
      <c r="AA30" s="446"/>
      <c r="AB30" s="666" t="str">
        <f>IF($AA30="オープン",VLOOKUP($CO30,参照データ!$D$69:$M$86,10,0),IF($AA30="選手権",VLOOKUP($FC30,参照データ!$D$92:$O$121,11,0),""))</f>
        <v/>
      </c>
      <c r="AC30" s="669"/>
      <c r="AD30" s="396" t="str">
        <f>IF($AC30="オープン",VLOOKUP($CO30,参照データ!$D$69:$M$86,10,0),IF($AC30="選手権",VLOOKUP($FC30,参照データ!$D$92:$O$121,11,0),""))</f>
        <v/>
      </c>
      <c r="AE30" s="446"/>
      <c r="AF30" s="396" t="str">
        <f>IF($AE30="オープン",VLOOKUP($CO30,参照データ!$D$69:$M$86,10,0),IF($AE30="選手権",VLOOKUP($FJ30,参照データ!$D$92:$O$121,12,0),""))</f>
        <v/>
      </c>
      <c r="AG30" s="446"/>
      <c r="AH30" s="396" t="str">
        <f>IF($AG30="オープン",VLOOKUP($CO30,参照データ!$D$69:$M$86,10,0),IF($AG30="選手権",VLOOKUP($FJ30,参照データ!$D$92:$O$121,12,0),""))</f>
        <v/>
      </c>
      <c r="AI30" s="446"/>
      <c r="AJ30" s="449"/>
      <c r="AK30" s="396" t="str">
        <f t="shared" si="3"/>
        <v/>
      </c>
      <c r="AL30" s="587"/>
      <c r="AM30" s="588" t="str">
        <f>IF($BJ30=0,"",DATEDIF($BJ30,参照データ!$D$17,"Y"))</f>
        <v/>
      </c>
      <c r="AN30" s="450"/>
      <c r="AO30" s="591" t="str">
        <f>IF(AN30="","",IF($BK30="男子",VLOOKUP($DI30,参照データ!$D$128:$M$145,10,FALSE),VLOOKUP($DH30,参照データ!$D$128:$M$145,10,FALSE)))</f>
        <v/>
      </c>
      <c r="AP30" s="450"/>
      <c r="AQ30" s="591" t="str">
        <f>IF(AP30="","",IF($BK30="男子",VLOOKUP($DI30,参照データ!$D$128:$M$145,10,FALSE),VLOOKUP($DH30,参照データ!$D$128:$M$145,10,FALSE)))</f>
        <v/>
      </c>
      <c r="AR30" s="450"/>
      <c r="AS30" s="591" t="str">
        <f>IF(AR30="","",IF($BK30="男子",VLOOKUP($DI30,参照データ!$D$128:$M$145,10,FALSE),VLOOKUP($DH30,参照データ!$D$128:$M$145,10,FALSE)))</f>
        <v/>
      </c>
      <c r="AT30" s="450"/>
      <c r="AU30" s="591" t="str">
        <f>IF(AT30="","",IF($BK30="男子",VLOOKUP($DI30,参照データ!$D$128:$M$145,10,FALSE),VLOOKUP($DH30,参照データ!$D$128:$M$145,10,FALSE)))</f>
        <v/>
      </c>
      <c r="AV30" s="448"/>
      <c r="AW30" s="448"/>
      <c r="AX30" s="585" t="str">
        <f t="shared" si="25"/>
        <v/>
      </c>
      <c r="AY30" s="448"/>
      <c r="AZ30" s="448"/>
      <c r="BA30" s="585" t="str">
        <f t="shared" si="83"/>
        <v/>
      </c>
      <c r="BB30" s="678"/>
      <c r="BC30" s="725"/>
      <c r="BD30" s="641"/>
      <c r="BE30" s="482"/>
      <c r="BF30" s="365"/>
      <c r="BG30" s="366"/>
      <c r="BJ30">
        <f t="shared" si="75"/>
        <v>0</v>
      </c>
      <c r="BK30" t="str">
        <f t="shared" si="65"/>
        <v/>
      </c>
      <c r="BL30" s="146"/>
      <c r="BO30" s="61" t="str">
        <f>IF($BJ30=0,"",IF(AND($I30&gt;=6,$I30&lt;=19),VLOOKUP($I30,参照データ!$B$28:$C$41,2,0),IF($I30&lt;6,6,19)))</f>
        <v/>
      </c>
      <c r="BP30" s="178" t="str">
        <f>IF($J30=$BI$12,VLOOKUP($BO30,参照データ!$C$28:$I$41,2,0),"")</f>
        <v/>
      </c>
      <c r="BQ30" s="169" t="str">
        <f>IF($K30=$BI$12,VLOOKUP($BO30,参照データ!$C$28:$I$41,3,0),"")</f>
        <v/>
      </c>
      <c r="BR30" s="169" t="str">
        <f>IF($L30=$BI$12,VLOOKUP($BO30,参照データ!$C$28:$I$41,4,0),"")</f>
        <v/>
      </c>
      <c r="BS30" s="169" t="str">
        <f>IF($M30=$BI$12,VLOOKUP($BO30,参照データ!$C$28:$I$41,5,0),"")</f>
        <v/>
      </c>
      <c r="BT30" s="169" t="str">
        <f>IF($N30=$BI$12,VLOOKUP($BO30,参照データ!$C$28:$I$41,6,0),"")</f>
        <v/>
      </c>
      <c r="BU30" s="179" t="str">
        <f>IF($O30=$BI$12,VLOOKUP($BO30,参照データ!$C$28:$I$41,7,0),"")</f>
        <v/>
      </c>
      <c r="BV30" s="178" t="str">
        <f>IF($J30=$BI$13,VLOOKUP($BO30,参照データ!$C$28:$I$41,2,0),"")</f>
        <v/>
      </c>
      <c r="BW30" s="169" t="str">
        <f>IF($K30=$BI$13,VLOOKUP($BO30,参照データ!$C$28:$I$41,3,0),"")</f>
        <v/>
      </c>
      <c r="BX30" s="169" t="str">
        <f>IF($L30=$BI$13,VLOOKUP($BO30,参照データ!$C$28:$I$41,4,0),"")</f>
        <v/>
      </c>
      <c r="BY30" s="169" t="str">
        <f>IF($M30=$BI$13,VLOOKUP($BO30,参照データ!$C$28:$I$41,5,0),"")</f>
        <v/>
      </c>
      <c r="BZ30" s="169" t="str">
        <f>IF($N30=$BI$13,VLOOKUP($BO30,参照データ!$C$28:$I$41,6,0),"")</f>
        <v/>
      </c>
      <c r="CA30" s="179" t="str">
        <f>IF($O30=$BI$13,VLOOKUP($BO30,参照データ!$C$28:$I$41,7,0),"")</f>
        <v/>
      </c>
      <c r="CB30" s="271" t="str">
        <f t="shared" si="26"/>
        <v/>
      </c>
      <c r="CC30" s="177" t="str">
        <f>IF($Q30="入門",VLOOKUP($BO30,参照データ!$C$47:$U$60,2,0),IF($Q30="初級",VLOOKUP($BO30,参照データ!$C$47:$U$60,3,0),IF($Q30="中級",VLOOKUP($BO30,参照データ!$C$47:$U$60,4,0),IF($Q30="上級",VLOOKUP($BO30,参照データ!$C$47:$U$60,5,0),""))))</f>
        <v/>
      </c>
      <c r="CD30" s="177" t="str">
        <f>IF($R30="初級",VLOOKUP($BO30,参照データ!$C$47:$U$60,6,0),IF($R30="中級",VLOOKUP($BO30,参照データ!$C$47:$U$60,7,0),IF($R30="上級",VLOOKUP($BO30,参照データ!$C$47:$U$60,8,0),"")))</f>
        <v/>
      </c>
      <c r="CE30" s="177" t="str">
        <f>IF($S30="初級",VLOOKUP($BO30,参照データ!$C$47:$U$60,9,0),IF($S30="上級",VLOOKUP($BO30,参照データ!$C$47:$U$60,10,0),""))</f>
        <v/>
      </c>
      <c r="CF30" s="177" t="str">
        <f>IF($T30="初級",VLOOKUP($BO30,参照データ!$C$47:$U$60,11,0),IF($T30="中級",VLOOKUP($BO30,参照データ!$C$47:$U$60,12,0),IF($T30="上級",VLOOKUP($BO30,参照データ!$C$47:$U$60,13,0),"")))</f>
        <v/>
      </c>
      <c r="CG30" s="177" t="str">
        <f>IF($U30="初級",VLOOKUP($BO30,参照データ!$C$47:$U$60,14,0),IF($U30="中級",VLOOKUP($BO30,参照データ!$C$47:$U$60,15,0),IF($U30="上級",VLOOKUP($BO30,参照データ!$C$47:$U$60,16,0),"")))</f>
        <v/>
      </c>
      <c r="CH30" s="55" t="str">
        <f t="shared" si="5"/>
        <v/>
      </c>
      <c r="CI30" s="55" t="str">
        <f>IF($V30="初級",VLOOKUP($BO30,参照データ!$C$47:$U$60,17,0),IF($V30="中級",VLOOKUP($BO30,参照データ!$C$47:$U$60,18,0),IF($V30="上級",VLOOKUP($BO30,参照データ!$C$47:$U$60,19,0),"")))</f>
        <v/>
      </c>
      <c r="CJ30" s="867">
        <v>10</v>
      </c>
      <c r="CK30" s="74" t="s">
        <v>254</v>
      </c>
      <c r="CL30" s="151" t="str">
        <f t="shared" si="6"/>
        <v/>
      </c>
      <c r="CM30" s="871" t="str">
        <f t="shared" ref="CM30" si="97">IF(OR($CL30="",$CL31=""),"",IF($CL30&gt;$CL31,$CL30,$CL31))</f>
        <v/>
      </c>
      <c r="CO30" s="61">
        <f>IF(AND($BJ30&gt;=参照データ!$C$71,$BJ30&lt;=参照データ!$C$69),1,IF(AND($BJ30&gt;=参照データ!$C$74,$BJ30&lt;=参照データ!$C$72),2,IF(AND($BJ30&gt;=参照データ!$C$77,$BJ30&lt;=参照データ!$C$75),3,IF(AND($BJ30&gt;=参照データ!$C$80,$BJ30&lt;=参照データ!$C$78),4,IF(AND($BJ30&gt;=参照データ!$C$83,$BJ30&lt;=参照データ!$C$81),5,IF(AND($BJ30&gt;0,$BJ30&lt;=参照データ!$C$84),6,""))))))</f>
        <v>5</v>
      </c>
      <c r="CP30" s="160" t="str">
        <f>IF($Y30="オープン",(VLOOKUP($CO30,参照データ!$D$69:$J$86,2,0)),"")</f>
        <v/>
      </c>
      <c r="CQ30" s="79" t="str">
        <f t="shared" si="27"/>
        <v/>
      </c>
      <c r="CR30" s="78" t="str">
        <f>IF($AA30="オープン",(VLOOKUP($CO30,参照データ!$D$69:$J$86,3,0)),"")</f>
        <v/>
      </c>
      <c r="CS30" s="79" t="str">
        <f t="shared" si="28"/>
        <v/>
      </c>
      <c r="CT30" s="78" t="str">
        <f>IF($AC30="オープン",(VLOOKUP($CO30,参照データ!$D$69:$J$86,4,0)),"")</f>
        <v/>
      </c>
      <c r="CU30" s="79" t="str">
        <f t="shared" si="29"/>
        <v/>
      </c>
      <c r="CV30" s="78" t="str">
        <f>IF($AE30="オープン",(VLOOKUP($CO30,参照データ!$D$69:$J$86,5,0)),"")</f>
        <v/>
      </c>
      <c r="CW30" s="79" t="str">
        <f t="shared" si="7"/>
        <v/>
      </c>
      <c r="CX30" s="78" t="str">
        <f>IF($AG30="オープン",(VLOOKUP($CO30,参照データ!$D$69:$J$86,6,0)),"")</f>
        <v/>
      </c>
      <c r="CY30" s="79" t="str">
        <f t="shared" si="30"/>
        <v/>
      </c>
      <c r="CZ30" s="38" t="str">
        <f t="shared" si="31"/>
        <v/>
      </c>
      <c r="DA30" s="37" t="str">
        <f t="shared" si="32"/>
        <v/>
      </c>
      <c r="DB30" s="79" t="str">
        <f t="shared" si="33"/>
        <v/>
      </c>
      <c r="DC30" s="857">
        <v>10</v>
      </c>
      <c r="DD30" s="87" t="s">
        <v>104</v>
      </c>
      <c r="DE30" s="88" t="str">
        <f t="shared" si="34"/>
        <v/>
      </c>
      <c r="DF30" s="859" t="e">
        <f>IF($DE30&gt;$DE31,VLOOKUP($DE30,参照データ!$D$69:$J$86,7,0),VLOOKUP($DE31,参照データ!$D$69:$J$86,7,0))</f>
        <v>#N/A</v>
      </c>
      <c r="DG30" s="350" t="str">
        <f>IFERROR(VLOOKUP($DF30,参照データ!$J$69:$M$86,4,0),"")</f>
        <v/>
      </c>
      <c r="DH30" s="523">
        <f>IF(AND($BJ30&gt;=参照データ!$C$130,$BJ30&lt;=参照データ!$C$128),1,IF(AND($BJ30&gt;=参照データ!$C$133,$BJ30&lt;=参照データ!$C$131),2,IF(AND($BJ30&gt;=参照データ!$C$139,$BJ30&lt;=参照データ!$C$137),3,IF(AND($BJ30&gt;0,$BJ30&lt;=参照データ!$C$140),4,""))))</f>
        <v>1</v>
      </c>
      <c r="DI30" s="523">
        <f t="shared" si="35"/>
        <v>7</v>
      </c>
      <c r="DJ30" s="523" t="str">
        <f t="shared" si="36"/>
        <v/>
      </c>
      <c r="DK30" s="524" t="str">
        <f>IF($AN30="","",IF(AND($AN30="○",$BK30="男子"),VLOOKUP($DI30,参照データ!$D$128:$J$145,3,FALSE),VLOOKUP($DH30,参照データ!$D$128:$J$145,3,FALSE)))</f>
        <v/>
      </c>
      <c r="DL30" s="525" t="str">
        <f t="shared" si="37"/>
        <v/>
      </c>
      <c r="DM30" s="524" t="str">
        <f>IF($AP30="","",IF(AND($AP30="○",$BK30="男子"),VLOOKUP($DI30,参照データ!$D$128:$J$145,4,FALSE),VLOOKUP($DH30,参照データ!$D$128:$J$145,4,FALSE)))</f>
        <v/>
      </c>
      <c r="DN30" s="525" t="str">
        <f t="shared" si="38"/>
        <v/>
      </c>
      <c r="DO30" s="524" t="str">
        <f>IF($AR30="","",IF(AND($AR30="○",$BK30="男子"),VLOOKUP($DI30,参照データ!$D$128:$J$145,5,FALSE),VLOOKUP($DH30,参照データ!$D$128:$J$145,5,FALSE)))</f>
        <v/>
      </c>
      <c r="DP30" s="525" t="str">
        <f t="shared" si="39"/>
        <v/>
      </c>
      <c r="DQ30" s="524" t="str">
        <f>IF($AT30="","",IF(AND($AT30="○",$BK30="男子"),VLOOKUP($DI30,参照データ!$D$128:$J$145,6,FALSE),VLOOKUP($DH30,参照データ!$D$128:$J$145,6,FALSE)))</f>
        <v/>
      </c>
      <c r="DR30" s="525" t="str">
        <f t="shared" si="40"/>
        <v/>
      </c>
      <c r="DS30" s="526" t="str">
        <f t="shared" si="41"/>
        <v/>
      </c>
      <c r="DT30" s="527" t="str">
        <f t="shared" si="42"/>
        <v/>
      </c>
      <c r="DU30" s="528" t="str">
        <f t="shared" si="43"/>
        <v/>
      </c>
      <c r="DV30" s="982">
        <v>10</v>
      </c>
      <c r="DW30" s="533" t="s">
        <v>104</v>
      </c>
      <c r="DX30" s="534" t="str">
        <f t="shared" si="92"/>
        <v/>
      </c>
      <c r="DY30" s="877" t="e">
        <f>IF($DX30&gt;$DX31,VLOOKUP($DX30,参照データ!$D$128:$K$145,7,0),VLOOKUP($DX31,参照データ!$D$128:$K$145,7,0))</f>
        <v>#N/A</v>
      </c>
      <c r="DZ30" s="692" t="str">
        <f>IFERROR(VLOOKUP($DY30,参照データ!$J$128:$N$145,5,0),"")</f>
        <v/>
      </c>
      <c r="EA30" s="526" t="str">
        <f t="shared" si="85"/>
        <v/>
      </c>
      <c r="EB30" s="527" t="str">
        <f t="shared" si="86"/>
        <v/>
      </c>
      <c r="EC30" s="528" t="str">
        <f t="shared" si="87"/>
        <v/>
      </c>
      <c r="ED30" s="982">
        <v>10</v>
      </c>
      <c r="EE30" s="533" t="s">
        <v>104</v>
      </c>
      <c r="EF30" s="533" t="str">
        <f t="shared" si="88"/>
        <v/>
      </c>
      <c r="EG30" s="534" t="str">
        <f>IF(SUM(EF30:EF31)&lt;24,"",IF(SUM(EF30:EF31)&gt;=36,3,2))</f>
        <v/>
      </c>
      <c r="EH30" s="877" t="e">
        <f>IF($EG30&gt;$EG31,VLOOKUP($EG30,参照データ!$D$128:$K$145,8,0),VLOOKUP($EG31,参照データ!$D$128:$K$145,8,0))</f>
        <v>#N/A</v>
      </c>
      <c r="EI30" s="527" t="str">
        <f>IFERROR(VLOOKUP($EH30,参照データ!$K$128:$N$145,4,0),"")</f>
        <v/>
      </c>
      <c r="EJ30" s="555" t="str">
        <f t="shared" si="13"/>
        <v/>
      </c>
      <c r="EK30" s="556" t="str">
        <f t="shared" si="44"/>
        <v/>
      </c>
      <c r="EL30" s="846"/>
      <c r="EM30" s="561" t="s">
        <v>779</v>
      </c>
      <c r="EN30" s="562" t="str">
        <f t="shared" si="45"/>
        <v/>
      </c>
      <c r="EO30" s="849"/>
      <c r="EP30" s="555" t="str">
        <f t="shared" si="14"/>
        <v/>
      </c>
      <c r="EQ30" s="556" t="str">
        <f t="shared" si="46"/>
        <v/>
      </c>
      <c r="ER30" s="846"/>
      <c r="ES30" s="561" t="s">
        <v>779</v>
      </c>
      <c r="ET30" s="562" t="str">
        <f t="shared" si="47"/>
        <v/>
      </c>
      <c r="EU30" s="849"/>
      <c r="EV30" s="38" t="str">
        <f t="shared" si="15"/>
        <v/>
      </c>
      <c r="EW30" s="552" t="str">
        <f t="shared" si="48"/>
        <v/>
      </c>
      <c r="EX30" s="833"/>
      <c r="EY30" s="559" t="s">
        <v>778</v>
      </c>
      <c r="EZ30" s="560" t="str">
        <f t="shared" si="49"/>
        <v/>
      </c>
      <c r="FA30" s="835"/>
      <c r="FB30" t="str">
        <f>IF($FC30="","",DATEDIF($BJ30,参照データ!$D$19,"Y"))</f>
        <v/>
      </c>
      <c r="FC30" s="298" t="str">
        <f>IFERROR(IF($BK30="男子",VLOOKUP($FJ30,参照データ!$D$92:$E$118,2,0),$FJ30),0)</f>
        <v/>
      </c>
      <c r="FD30" s="92" t="str">
        <f>IF($Y30="選手権",(VLOOKUP($FC30,参照データ!$D$92:$K$121,3,0)),"")</f>
        <v/>
      </c>
      <c r="FE30" s="93" t="str">
        <f t="shared" si="16"/>
        <v/>
      </c>
      <c r="FF30" s="92" t="str">
        <f>IF($AA30="選手権",(VLOOKUP($FC30,参照データ!$D$92:$K$121,4,0)),"")</f>
        <v/>
      </c>
      <c r="FG30" s="93" t="str">
        <f t="shared" si="17"/>
        <v/>
      </c>
      <c r="FH30" s="92" t="str">
        <f>IF($AC30="選手権",(VLOOKUP($FC30,参照データ!$D$92:$K$121,5,0)),"")</f>
        <v/>
      </c>
      <c r="FI30" s="93" t="str">
        <f t="shared" si="18"/>
        <v/>
      </c>
      <c r="FJ30" s="61" t="str">
        <f>IF(AND($BJ30&gt;=参照データ!$C$94,$BJ30&lt;=参照データ!$C$92),1,IF(AND($BJ30&gt;=参照データ!$C$97,$BJ30&lt;=参照データ!$C$95),2,IF(AND($BJ30&gt;=参照データ!$C$103,$BJ30&lt;=参照データ!$C$101),3,IF(AND($BJ30&gt;=参照データ!$C$109,$BJ30&lt;=参照データ!$C$107),4,IF(AND($BJ30&gt;=参照データ!$C$115,$BJ30&lt;=参照データ!$C$113),5,IF(AND($BJ30&gt;0,$BJ30&lt;=参照データ!$C$116),6,""))))))</f>
        <v/>
      </c>
      <c r="FK30" s="92" t="str">
        <f>IF($AE30="選手権",(VLOOKUP($FJ30,参照データ!$D$92:$K$121,6,0)),"")</f>
        <v/>
      </c>
      <c r="FL30" s="93" t="str">
        <f t="shared" si="19"/>
        <v/>
      </c>
      <c r="FM30" s="92" t="str">
        <f>IF($AG30="選手権",(VLOOKUP($FJ30,参照データ!$D$92:$K$121,7,0)),"")</f>
        <v/>
      </c>
      <c r="FN30" s="93" t="str">
        <f t="shared" si="50"/>
        <v/>
      </c>
      <c r="FO30" s="38" t="str">
        <f t="shared" si="51"/>
        <v/>
      </c>
      <c r="FP30" s="37" t="str">
        <f t="shared" si="52"/>
        <v/>
      </c>
      <c r="FQ30" s="93" t="str">
        <f t="shared" si="53"/>
        <v/>
      </c>
      <c r="FR30" s="979">
        <v>10</v>
      </c>
      <c r="FS30" s="101" t="s">
        <v>104</v>
      </c>
      <c r="FT30" s="102" t="str">
        <f t="shared" si="20"/>
        <v/>
      </c>
      <c r="FU30" s="980" t="e">
        <f>IF($FT30&gt;$FT31,VLOOKUP($FT30,参照データ!$D$92:$K$121,8,0),VLOOKUP($FT31,参照データ!$D$92:$K$121,8,0))</f>
        <v>#N/A</v>
      </c>
      <c r="FV30" s="356" t="str">
        <f>IFERROR(VLOOKUP($FU30,参照データ!$K$92:$O$121,5,0),"")</f>
        <v/>
      </c>
      <c r="FY30" s="40">
        <f>(COUNTIF($J30:$O30,"&lt;&gt;"))*参照データ!$E$3</f>
        <v>0</v>
      </c>
      <c r="FZ30" s="267" t="str">
        <f>IF($P30="○",参照データ!$E$4,"")</f>
        <v/>
      </c>
      <c r="GA30" s="19">
        <f>(SUM(COUNTIF($Q30:$U30,{"入門","初級"}))*参照データ!$E$9)+(SUM(COUNTIF($Q30:$U30,{"中級","上級"})*参照データ!$E$10))</f>
        <v>0</v>
      </c>
      <c r="GB30" s="19">
        <f>IFERROR(VLOOKUP($V30,参照データ!$D$9:$J$11,7,0),0)</f>
        <v>0</v>
      </c>
      <c r="GC30" s="19">
        <f>((COUNTIF($Y30:$AG30,"オープン"))*参照データ!$E$12)</f>
        <v>0</v>
      </c>
      <c r="GD30" s="19" t="str">
        <f>(IF($AI30="オープン",参照データ!$J$12,""))</f>
        <v/>
      </c>
      <c r="GE30" s="19">
        <f>(COUNTIF($AN30:$AU30,"○")*参照データ!$E$22)</f>
        <v>0</v>
      </c>
      <c r="GF30" s="19">
        <f>(COUNTIF($AV30:$BA30,"○")*参照データ!$I$22)</f>
        <v>0</v>
      </c>
      <c r="GI30" s="19">
        <f>((COUNTIF($Y30:$AG30,"選手権"))*参照データ!$E$13)</f>
        <v>0</v>
      </c>
      <c r="GJ30" s="19" t="str">
        <f>(IF($AI30="選手権",参照データ!$J$13,""))</f>
        <v/>
      </c>
      <c r="GK30" s="106">
        <f t="array" ref="GK30">SUM(IF(ISERROR(FY30:GJ30),0,(FY30:GJ30)))</f>
        <v>0</v>
      </c>
      <c r="GL30" s="19"/>
      <c r="GM30" s="19">
        <f t="shared" si="54"/>
        <v>0</v>
      </c>
      <c r="GN30" s="19">
        <f t="shared" si="55"/>
        <v>0</v>
      </c>
      <c r="GO30" s="19">
        <f t="shared" si="56"/>
        <v>0</v>
      </c>
      <c r="GP30" s="19">
        <f t="shared" si="21"/>
        <v>0</v>
      </c>
      <c r="GQ30" s="19">
        <f t="shared" si="57"/>
        <v>0</v>
      </c>
      <c r="GR30" s="19">
        <f t="shared" si="58"/>
        <v>0</v>
      </c>
      <c r="GS30" s="19">
        <f t="shared" si="59"/>
        <v>0</v>
      </c>
      <c r="GT30" s="19">
        <f t="shared" si="60"/>
        <v>0</v>
      </c>
      <c r="GU30" s="19">
        <f t="shared" si="61"/>
        <v>0</v>
      </c>
      <c r="GV30" t="str">
        <f t="shared" si="22"/>
        <v/>
      </c>
      <c r="GW30" t="str">
        <f t="shared" si="62"/>
        <v/>
      </c>
      <c r="GX30" t="str">
        <f t="shared" si="23"/>
        <v/>
      </c>
      <c r="GY30" t="str">
        <f t="shared" si="63"/>
        <v/>
      </c>
      <c r="GZ30" t="str">
        <f t="shared" si="24"/>
        <v/>
      </c>
    </row>
    <row r="31" spans="1:208" ht="18.75" customHeight="1" x14ac:dyDescent="0.15">
      <c r="A31">
        <v>20</v>
      </c>
      <c r="B31" s="15" t="str">
        <f>IF(D31="","",IF(D31="重複","",COUNTIF(B$12:$B30,"&gt;0")+1))</f>
        <v/>
      </c>
      <c r="C31" s="713"/>
      <c r="D31" s="185"/>
      <c r="E31" s="185"/>
      <c r="F31" s="36"/>
      <c r="G31" s="47"/>
      <c r="H31" s="402">
        <f t="shared" si="2"/>
        <v>0</v>
      </c>
      <c r="I31" s="201" t="str">
        <f>IF($BJ31=0,"",DATEDIF($BJ31,参照データ!$D$16,"Y"))</f>
        <v/>
      </c>
      <c r="J31" s="41"/>
      <c r="K31" s="41"/>
      <c r="L31" s="41"/>
      <c r="M31" s="41"/>
      <c r="N31" s="41"/>
      <c r="O31" s="49"/>
      <c r="P31" s="395"/>
      <c r="Q31" s="51"/>
      <c r="R31" s="289"/>
      <c r="S31" s="289"/>
      <c r="T31" s="289"/>
      <c r="U31" s="290"/>
      <c r="V31" s="293"/>
      <c r="W31" s="295"/>
      <c r="Y31" s="446"/>
      <c r="Z31" s="396" t="str">
        <f>IF($Y31="オープン",VLOOKUP($CO31,参照データ!$D$69:$M$86,9,0),IF($Y31="選手権",VLOOKUP($FC31,参照データ!$D$92:$O$121,10,0),""))</f>
        <v/>
      </c>
      <c r="AA31" s="446"/>
      <c r="AB31" s="666" t="str">
        <f>IF($AA31="オープン",VLOOKUP($CO31,参照データ!$D$69:$M$86,10,0),IF($AA31="選手権",VLOOKUP($FC31,参照データ!$D$92:$O$121,11,0),""))</f>
        <v/>
      </c>
      <c r="AC31" s="669"/>
      <c r="AD31" s="396" t="str">
        <f>IF($AC31="オープン",VLOOKUP($CO31,参照データ!$D$69:$M$86,10,0),IF($AC31="選手権",VLOOKUP($FC31,参照データ!$D$92:$O$121,11,0),""))</f>
        <v/>
      </c>
      <c r="AE31" s="446"/>
      <c r="AF31" s="396" t="str">
        <f>IF($AE31="オープン",VLOOKUP($CO31,参照データ!$D$69:$M$86,10,0),IF($AE31="選手権",VLOOKUP($FJ31,参照データ!$D$92:$O$121,12,0),""))</f>
        <v/>
      </c>
      <c r="AG31" s="446"/>
      <c r="AH31" s="396" t="str">
        <f>IF($AG31="オープン",VLOOKUP($CO31,参照データ!$D$69:$M$86,10,0),IF($AG31="選手権",VLOOKUP($FJ31,参照データ!$D$92:$O$121,12,0),""))</f>
        <v/>
      </c>
      <c r="AI31" s="446"/>
      <c r="AJ31" s="449"/>
      <c r="AK31" s="396" t="str">
        <f t="shared" si="3"/>
        <v/>
      </c>
      <c r="AL31" s="587"/>
      <c r="AM31" s="588" t="str">
        <f>IF($BJ31=0,"",DATEDIF($BJ31,参照データ!$D$17,"Y"))</f>
        <v/>
      </c>
      <c r="AN31" s="450"/>
      <c r="AO31" s="591" t="str">
        <f>IF(AN31="","",IF($BK31="男子",VLOOKUP($DI31,参照データ!$D$128:$M$145,10,FALSE),VLOOKUP($DH31,参照データ!$D$128:$M$145,10,FALSE)))</f>
        <v/>
      </c>
      <c r="AP31" s="450"/>
      <c r="AQ31" s="591" t="str">
        <f>IF(AP31="","",IF($BK31="男子",VLOOKUP($DI31,参照データ!$D$128:$M$145,10,FALSE),VLOOKUP($DH31,参照データ!$D$128:$M$145,10,FALSE)))</f>
        <v/>
      </c>
      <c r="AR31" s="450"/>
      <c r="AS31" s="591" t="str">
        <f>IF(AR31="","",IF($BK31="男子",VLOOKUP($DI31,参照データ!$D$128:$M$145,10,FALSE),VLOOKUP($DH31,参照データ!$D$128:$M$145,10,FALSE)))</f>
        <v/>
      </c>
      <c r="AT31" s="450"/>
      <c r="AU31" s="591" t="str">
        <f>IF(AT31="","",IF($BK31="男子",VLOOKUP($DI31,参照データ!$D$128:$M$145,10,FALSE),VLOOKUP($DH31,参照データ!$D$128:$M$145,10,FALSE)))</f>
        <v/>
      </c>
      <c r="AV31" s="448"/>
      <c r="AW31" s="448"/>
      <c r="AX31" s="585" t="str">
        <f t="shared" si="25"/>
        <v/>
      </c>
      <c r="AY31" s="448"/>
      <c r="AZ31" s="448"/>
      <c r="BA31" s="585" t="str">
        <f t="shared" si="83"/>
        <v/>
      </c>
      <c r="BB31" s="678"/>
      <c r="BC31" s="725"/>
      <c r="BD31" s="641"/>
      <c r="BE31" s="482"/>
      <c r="BF31" s="365"/>
      <c r="BG31" s="366"/>
      <c r="BJ31">
        <f t="shared" si="75"/>
        <v>0</v>
      </c>
      <c r="BK31" t="str">
        <f t="shared" si="65"/>
        <v/>
      </c>
      <c r="BL31" s="146"/>
      <c r="BO31" s="61" t="str">
        <f>IF($BJ31=0,"",IF(AND($I31&gt;=6,$I31&lt;=19),VLOOKUP($I31,参照データ!$B$28:$C$41,2,0),IF($I31&lt;6,6,19)))</f>
        <v/>
      </c>
      <c r="BP31" s="178" t="str">
        <f>IF($J31=$BI$12,VLOOKUP($BO31,参照データ!$C$28:$I$41,2,0),"")</f>
        <v/>
      </c>
      <c r="BQ31" s="169" t="str">
        <f>IF($K31=$BI$12,VLOOKUP($BO31,参照データ!$C$28:$I$41,3,0),"")</f>
        <v/>
      </c>
      <c r="BR31" s="169" t="str">
        <f>IF($L31=$BI$12,VLOOKUP($BO31,参照データ!$C$28:$I$41,4,0),"")</f>
        <v/>
      </c>
      <c r="BS31" s="169" t="str">
        <f>IF($M31=$BI$12,VLOOKUP($BO31,参照データ!$C$28:$I$41,5,0),"")</f>
        <v/>
      </c>
      <c r="BT31" s="169" t="str">
        <f>IF($N31=$BI$12,VLOOKUP($BO31,参照データ!$C$28:$I$41,6,0),"")</f>
        <v/>
      </c>
      <c r="BU31" s="179" t="str">
        <f>IF($O31=$BI$12,VLOOKUP($BO31,参照データ!$C$28:$I$41,7,0),"")</f>
        <v/>
      </c>
      <c r="BV31" s="178" t="str">
        <f>IF($J31=$BI$13,VLOOKUP($BO31,参照データ!$C$28:$I$41,2,0),"")</f>
        <v/>
      </c>
      <c r="BW31" s="169" t="str">
        <f>IF($K31=$BI$13,VLOOKUP($BO31,参照データ!$C$28:$I$41,3,0),"")</f>
        <v/>
      </c>
      <c r="BX31" s="169" t="str">
        <f>IF($L31=$BI$13,VLOOKUP($BO31,参照データ!$C$28:$I$41,4,0),"")</f>
        <v/>
      </c>
      <c r="BY31" s="169" t="str">
        <f>IF($M31=$BI$13,VLOOKUP($BO31,参照データ!$C$28:$I$41,5,0),"")</f>
        <v/>
      </c>
      <c r="BZ31" s="169" t="str">
        <f>IF($N31=$BI$13,VLOOKUP($BO31,参照データ!$C$28:$I$41,6,0),"")</f>
        <v/>
      </c>
      <c r="CA31" s="179" t="str">
        <f>IF($O31=$BI$13,VLOOKUP($BO31,参照データ!$C$28:$I$41,7,0),"")</f>
        <v/>
      </c>
      <c r="CB31" s="271" t="str">
        <f t="shared" si="26"/>
        <v/>
      </c>
      <c r="CC31" s="177" t="str">
        <f>IF($Q31="入門",VLOOKUP($BO31,参照データ!$C$47:$U$60,2,0),IF($Q31="初級",VLOOKUP($BO31,参照データ!$C$47:$U$60,3,0),IF($Q31="中級",VLOOKUP($BO31,参照データ!$C$47:$U$60,4,0),IF($Q31="上級",VLOOKUP($BO31,参照データ!$C$47:$U$60,5,0),""))))</f>
        <v/>
      </c>
      <c r="CD31" s="177" t="str">
        <f>IF($R31="初級",VLOOKUP($BO31,参照データ!$C$47:$U$60,6,0),IF($R31="中級",VLOOKUP($BO31,参照データ!$C$47:$U$60,7,0),IF($R31="上級",VLOOKUP($BO31,参照データ!$C$47:$U$60,8,0),"")))</f>
        <v/>
      </c>
      <c r="CE31" s="177" t="str">
        <f>IF($S31="初級",VLOOKUP($BO31,参照データ!$C$47:$U$60,9,0),IF($S31="上級",VLOOKUP($BO31,参照データ!$C$47:$U$60,10,0),""))</f>
        <v/>
      </c>
      <c r="CF31" s="177" t="str">
        <f>IF($T31="初級",VLOOKUP($BO31,参照データ!$C$47:$U$60,11,0),IF($T31="中級",VLOOKUP($BO31,参照データ!$C$47:$U$60,12,0),IF($T31="上級",VLOOKUP($BO31,参照データ!$C$47:$U$60,13,0),"")))</f>
        <v/>
      </c>
      <c r="CG31" s="177" t="str">
        <f>IF($U31="初級",VLOOKUP($BO31,参照データ!$C$47:$U$60,14,0),IF($U31="中級",VLOOKUP($BO31,参照データ!$C$47:$U$60,15,0),IF($U31="上級",VLOOKUP($BO31,参照データ!$C$47:$U$60,16,0),"")))</f>
        <v/>
      </c>
      <c r="CH31" s="55" t="str">
        <f t="shared" si="5"/>
        <v/>
      </c>
      <c r="CI31" s="55" t="str">
        <f>IF($V31="初級",VLOOKUP($BO31,参照データ!$C$47:$U$60,17,0),IF($V31="中級",VLOOKUP($BO31,参照データ!$C$47:$U$60,18,0),IF($V31="上級",VLOOKUP($BO31,参照データ!$C$47:$U$60,19,0),"")))</f>
        <v/>
      </c>
      <c r="CJ31" s="868"/>
      <c r="CK31" s="73" t="s">
        <v>255</v>
      </c>
      <c r="CL31" s="150" t="str">
        <f t="shared" si="6"/>
        <v/>
      </c>
      <c r="CM31" s="872"/>
      <c r="CO31" s="61">
        <f>IF(AND($BJ31&gt;=参照データ!$C$71,$BJ31&lt;=参照データ!$C$69),1,IF(AND($BJ31&gt;=参照データ!$C$74,$BJ31&lt;=参照データ!$C$72),2,IF(AND($BJ31&gt;=参照データ!$C$77,$BJ31&lt;=参照データ!$C$75),3,IF(AND($BJ31&gt;=参照データ!$C$80,$BJ31&lt;=参照データ!$C$78),4,IF(AND($BJ31&gt;=参照データ!$C$83,$BJ31&lt;=参照データ!$C$81),5,IF(AND($BJ31&gt;0,$BJ31&lt;=参照データ!$C$84),6,""))))))</f>
        <v>5</v>
      </c>
      <c r="CP31" s="160" t="str">
        <f>IF($Y31="オープン",(VLOOKUP($CO31,参照データ!$D$69:$J$86,2,0)),"")</f>
        <v/>
      </c>
      <c r="CQ31" s="79" t="str">
        <f t="shared" si="27"/>
        <v/>
      </c>
      <c r="CR31" s="78" t="str">
        <f>IF($AA31="オープン",(VLOOKUP($CO31,参照データ!$D$69:$J$86,3,0)),"")</f>
        <v/>
      </c>
      <c r="CS31" s="79" t="str">
        <f t="shared" si="28"/>
        <v/>
      </c>
      <c r="CT31" s="78" t="str">
        <f>IF($AC31="オープン",(VLOOKUP($CO31,参照データ!$D$69:$J$86,4,0)),"")</f>
        <v/>
      </c>
      <c r="CU31" s="79" t="str">
        <f t="shared" si="29"/>
        <v/>
      </c>
      <c r="CV31" s="78" t="str">
        <f>IF($AE31="オープン",(VLOOKUP($CO31,参照データ!$D$69:$J$86,5,0)),"")</f>
        <v/>
      </c>
      <c r="CW31" s="79" t="str">
        <f t="shared" si="7"/>
        <v/>
      </c>
      <c r="CX31" s="78" t="str">
        <f>IF($AG31="オープン",(VLOOKUP($CO31,参照データ!$D$69:$J$86,6,0)),"")</f>
        <v/>
      </c>
      <c r="CY31" s="79" t="str">
        <f t="shared" si="30"/>
        <v/>
      </c>
      <c r="CZ31" s="38" t="str">
        <f t="shared" si="31"/>
        <v/>
      </c>
      <c r="DA31" s="37" t="str">
        <f t="shared" si="32"/>
        <v/>
      </c>
      <c r="DB31" s="79" t="str">
        <f t="shared" si="33"/>
        <v/>
      </c>
      <c r="DC31" s="858"/>
      <c r="DD31" s="85" t="s">
        <v>105</v>
      </c>
      <c r="DE31" s="86" t="str">
        <f t="shared" si="34"/>
        <v/>
      </c>
      <c r="DF31" s="860"/>
      <c r="DG31" s="350" t="str">
        <f t="shared" ref="DG31" si="98">$DG30</f>
        <v/>
      </c>
      <c r="DH31" s="523">
        <f>IF(AND($BJ31&gt;=参照データ!$C$130,$BJ31&lt;=参照データ!$C$128),1,IF(AND($BJ31&gt;=参照データ!$C$133,$BJ31&lt;=参照データ!$C$131),2,IF(AND($BJ31&gt;=参照データ!$C$139,$BJ31&lt;=参照データ!$C$137),3,IF(AND($BJ31&gt;0,$BJ31&lt;=参照データ!$C$140),4,""))))</f>
        <v>1</v>
      </c>
      <c r="DI31" s="523">
        <f t="shared" si="35"/>
        <v>7</v>
      </c>
      <c r="DJ31" s="523" t="str">
        <f t="shared" si="36"/>
        <v/>
      </c>
      <c r="DK31" s="524" t="str">
        <f>IF($AN31="","",IF(AND($AN31="○",$BK31="男子"),VLOOKUP($DI31,参照データ!$D$128:$J$145,3,FALSE),VLOOKUP($DH31,参照データ!$D$128:$J$145,3,FALSE)))</f>
        <v/>
      </c>
      <c r="DL31" s="525" t="str">
        <f t="shared" si="37"/>
        <v/>
      </c>
      <c r="DM31" s="524" t="str">
        <f>IF($AP31="","",IF(AND($AP31="○",$BK31="男子"),VLOOKUP($DI31,参照データ!$D$128:$J$145,4,FALSE),VLOOKUP($DH31,参照データ!$D$128:$J$145,4,FALSE)))</f>
        <v/>
      </c>
      <c r="DN31" s="525" t="str">
        <f t="shared" si="38"/>
        <v/>
      </c>
      <c r="DO31" s="524" t="str">
        <f>IF($AR31="","",IF(AND($AR31="○",$BK31="男子"),VLOOKUP($DI31,参照データ!$D$128:$J$145,5,FALSE),VLOOKUP($DH31,参照データ!$D$128:$J$145,5,FALSE)))</f>
        <v/>
      </c>
      <c r="DP31" s="525" t="str">
        <f t="shared" si="39"/>
        <v/>
      </c>
      <c r="DQ31" s="524" t="str">
        <f>IF($AT31="","",IF(AND($AT31="○",$BK31="男子"),VLOOKUP($DI31,参照データ!$D$128:$J$145,6,FALSE),VLOOKUP($DH31,参照データ!$D$128:$J$145,6,FALSE)))</f>
        <v/>
      </c>
      <c r="DR31" s="525" t="str">
        <f t="shared" si="40"/>
        <v/>
      </c>
      <c r="DS31" s="526" t="str">
        <f t="shared" si="41"/>
        <v/>
      </c>
      <c r="DT31" s="527" t="str">
        <f t="shared" si="42"/>
        <v/>
      </c>
      <c r="DU31" s="528" t="str">
        <f t="shared" si="43"/>
        <v/>
      </c>
      <c r="DV31" s="983"/>
      <c r="DW31" s="531" t="s">
        <v>105</v>
      </c>
      <c r="DX31" s="532" t="str">
        <f t="shared" si="92"/>
        <v/>
      </c>
      <c r="DY31" s="994"/>
      <c r="DZ31" s="692" t="str">
        <f>$DZ30</f>
        <v/>
      </c>
      <c r="EA31" s="526" t="str">
        <f t="shared" si="85"/>
        <v/>
      </c>
      <c r="EB31" s="527" t="str">
        <f t="shared" si="86"/>
        <v/>
      </c>
      <c r="EC31" s="528" t="str">
        <f t="shared" si="87"/>
        <v/>
      </c>
      <c r="ED31" s="983"/>
      <c r="EE31" s="531" t="s">
        <v>105</v>
      </c>
      <c r="EF31" s="531" t="str">
        <f t="shared" si="88"/>
        <v/>
      </c>
      <c r="EG31" s="532" t="str">
        <f>IF(SUM(EF30:EF31)&lt;24,"",IF(SUM(EF30:EF31)&gt;=36,3,2))</f>
        <v/>
      </c>
      <c r="EH31" s="994"/>
      <c r="EI31" s="527" t="str">
        <f>$EI30</f>
        <v/>
      </c>
      <c r="EJ31" s="555" t="str">
        <f t="shared" si="13"/>
        <v/>
      </c>
      <c r="EK31" s="556" t="str">
        <f t="shared" si="44"/>
        <v/>
      </c>
      <c r="EL31" s="847"/>
      <c r="EM31" s="563" t="s">
        <v>781</v>
      </c>
      <c r="EN31" s="564" t="str">
        <f t="shared" si="45"/>
        <v/>
      </c>
      <c r="EO31" s="850"/>
      <c r="EP31" s="555" t="str">
        <f t="shared" si="14"/>
        <v/>
      </c>
      <c r="EQ31" s="556" t="str">
        <f t="shared" si="46"/>
        <v/>
      </c>
      <c r="ER31" s="847"/>
      <c r="ES31" s="563" t="s">
        <v>781</v>
      </c>
      <c r="ET31" s="564" t="str">
        <f t="shared" si="47"/>
        <v/>
      </c>
      <c r="EU31" s="850"/>
      <c r="EV31" s="38" t="str">
        <f t="shared" si="15"/>
        <v/>
      </c>
      <c r="EW31" s="552" t="str">
        <f t="shared" si="48"/>
        <v/>
      </c>
      <c r="EX31" s="833"/>
      <c r="EY31" s="559" t="s">
        <v>780</v>
      </c>
      <c r="EZ31" s="560" t="str">
        <f t="shared" si="49"/>
        <v/>
      </c>
      <c r="FA31" s="835"/>
      <c r="FB31" t="str">
        <f>IF($FC31="","",DATEDIF($BJ31,参照データ!$D$19,"Y"))</f>
        <v/>
      </c>
      <c r="FC31" s="298" t="str">
        <f>IFERROR(IF($BK31="男子",VLOOKUP($FJ31,参照データ!$D$92:$E$118,2,0),$FJ31),0)</f>
        <v/>
      </c>
      <c r="FD31" s="92" t="str">
        <f>IF($Y31="選手権",(VLOOKUP($FC31,参照データ!$D$92:$K$121,3,0)),"")</f>
        <v/>
      </c>
      <c r="FE31" s="93" t="str">
        <f t="shared" si="16"/>
        <v/>
      </c>
      <c r="FF31" s="92" t="str">
        <f>IF($AA31="選手権",(VLOOKUP($FC31,参照データ!$D$92:$K$121,4,0)),"")</f>
        <v/>
      </c>
      <c r="FG31" s="93" t="str">
        <f t="shared" si="17"/>
        <v/>
      </c>
      <c r="FH31" s="92" t="str">
        <f>IF($AC31="選手権",(VLOOKUP($FC31,参照データ!$D$92:$K$121,5,0)),"")</f>
        <v/>
      </c>
      <c r="FI31" s="93" t="str">
        <f t="shared" si="18"/>
        <v/>
      </c>
      <c r="FJ31" s="61" t="str">
        <f>IF(AND($BJ31&gt;=参照データ!$C$94,$BJ31&lt;=参照データ!$C$92),1,IF(AND($BJ31&gt;=参照データ!$C$97,$BJ31&lt;=参照データ!$C$95),2,IF(AND($BJ31&gt;=参照データ!$C$103,$BJ31&lt;=参照データ!$C$101),3,IF(AND($BJ31&gt;=参照データ!$C$109,$BJ31&lt;=参照データ!$C$107),4,IF(AND($BJ31&gt;=参照データ!$C$115,$BJ31&lt;=参照データ!$C$113),5,IF(AND($BJ31&gt;0,$BJ31&lt;=参照データ!$C$116),6,""))))))</f>
        <v/>
      </c>
      <c r="FK31" s="92" t="str">
        <f>IF($AE31="選手権",(VLOOKUP($FJ31,参照データ!$D$92:$K$121,6,0)),"")</f>
        <v/>
      </c>
      <c r="FL31" s="93" t="str">
        <f t="shared" si="19"/>
        <v/>
      </c>
      <c r="FM31" s="92" t="str">
        <f>IF($AG31="選手権",(VLOOKUP($FJ31,参照データ!$D$92:$K$121,7,0)),"")</f>
        <v/>
      </c>
      <c r="FN31" s="93" t="str">
        <f t="shared" si="50"/>
        <v/>
      </c>
      <c r="FO31" s="38" t="str">
        <f t="shared" si="51"/>
        <v/>
      </c>
      <c r="FP31" s="37" t="str">
        <f t="shared" si="52"/>
        <v/>
      </c>
      <c r="FQ31" s="93" t="str">
        <f t="shared" si="53"/>
        <v/>
      </c>
      <c r="FR31" s="976"/>
      <c r="FS31" s="99" t="s">
        <v>105</v>
      </c>
      <c r="FT31" s="100" t="str">
        <f t="shared" si="20"/>
        <v/>
      </c>
      <c r="FU31" s="978"/>
      <c r="FV31" s="356" t="str">
        <f t="shared" ref="FV31:FV49" si="99">$FV30</f>
        <v/>
      </c>
      <c r="FY31" s="40">
        <f>(COUNTIF($J31:$O31,"&lt;&gt;"))*参照データ!$E$3</f>
        <v>0</v>
      </c>
      <c r="FZ31" s="267" t="str">
        <f>IF($P31="○",参照データ!$E$4,"")</f>
        <v/>
      </c>
      <c r="GA31" s="19">
        <f>(SUM(COUNTIF($Q31:$U31,{"入門","初級"}))*参照データ!$E$9)+(SUM(COUNTIF($Q31:$U31,{"中級","上級"})*参照データ!$E$10))</f>
        <v>0</v>
      </c>
      <c r="GB31" s="19">
        <f>IFERROR(VLOOKUP($V31,参照データ!$D$9:$J$11,7,0),0)</f>
        <v>0</v>
      </c>
      <c r="GC31" s="19">
        <f>((COUNTIF($Y31:$AG31,"オープン"))*参照データ!$E$12)</f>
        <v>0</v>
      </c>
      <c r="GD31" s="19" t="str">
        <f>(IF($AI31="オープン",参照データ!$J$12,""))</f>
        <v/>
      </c>
      <c r="GE31" s="19">
        <f>(COUNTIF($AN31:$AU31,"○")*参照データ!$E$22)</f>
        <v>0</v>
      </c>
      <c r="GF31" s="19">
        <f>(COUNTIF($AV31:$BA31,"○")*参照データ!$I$22)</f>
        <v>0</v>
      </c>
      <c r="GI31" s="19">
        <f>((COUNTIF($Y31:$AG31,"選手権"))*参照データ!$E$13)</f>
        <v>0</v>
      </c>
      <c r="GJ31" s="19" t="str">
        <f>(IF($AI31="選手権",参照データ!$J$13,""))</f>
        <v/>
      </c>
      <c r="GK31" s="106">
        <f t="array" ref="GK31">SUM(IF(ISERROR(FY31:GJ31),0,(FY31:GJ31)))</f>
        <v>0</v>
      </c>
      <c r="GL31" s="19"/>
      <c r="GM31" s="19">
        <f t="shared" si="54"/>
        <v>0</v>
      </c>
      <c r="GN31" s="19">
        <f t="shared" si="55"/>
        <v>0</v>
      </c>
      <c r="GO31" s="19">
        <f t="shared" si="56"/>
        <v>0</v>
      </c>
      <c r="GP31" s="19">
        <f t="shared" si="21"/>
        <v>0</v>
      </c>
      <c r="GQ31" s="19">
        <f t="shared" si="57"/>
        <v>0</v>
      </c>
      <c r="GR31" s="19">
        <f t="shared" si="58"/>
        <v>0</v>
      </c>
      <c r="GS31" s="19">
        <f t="shared" si="59"/>
        <v>0</v>
      </c>
      <c r="GT31" s="19">
        <f t="shared" si="60"/>
        <v>0</v>
      </c>
      <c r="GU31" s="19">
        <f t="shared" si="61"/>
        <v>0</v>
      </c>
      <c r="GV31" t="str">
        <f t="shared" si="22"/>
        <v/>
      </c>
      <c r="GW31" t="str">
        <f t="shared" si="62"/>
        <v/>
      </c>
      <c r="GX31" t="str">
        <f t="shared" si="23"/>
        <v/>
      </c>
      <c r="GY31" t="str">
        <f t="shared" si="63"/>
        <v/>
      </c>
      <c r="GZ31" t="str">
        <f t="shared" si="24"/>
        <v/>
      </c>
    </row>
    <row r="32" spans="1:208" ht="18.75" customHeight="1" x14ac:dyDescent="0.15">
      <c r="A32">
        <v>21</v>
      </c>
      <c r="B32" s="15" t="str">
        <f>IF(D32="","",IF(D32="重複","",COUNTIF(B$12:$B31,"&gt;0")+1))</f>
        <v/>
      </c>
      <c r="C32" s="713"/>
      <c r="D32" s="185"/>
      <c r="E32" s="185"/>
      <c r="F32" s="36"/>
      <c r="G32" s="47"/>
      <c r="H32" s="402">
        <f t="shared" si="2"/>
        <v>0</v>
      </c>
      <c r="I32" s="201" t="str">
        <f>IF($BJ32=0,"",DATEDIF($BJ32,参照データ!$D$16,"Y"))</f>
        <v/>
      </c>
      <c r="J32" s="41"/>
      <c r="K32" s="41"/>
      <c r="L32" s="41"/>
      <c r="M32" s="41"/>
      <c r="N32" s="41"/>
      <c r="O32" s="49"/>
      <c r="P32" s="395"/>
      <c r="Q32" s="51"/>
      <c r="R32" s="289"/>
      <c r="S32" s="289"/>
      <c r="T32" s="289"/>
      <c r="U32" s="290"/>
      <c r="V32" s="293"/>
      <c r="W32" s="295"/>
      <c r="Y32" s="446"/>
      <c r="Z32" s="396" t="str">
        <f>IF($Y32="オープン",VLOOKUP($CO32,参照データ!$D$69:$M$86,9,0),IF($Y32="選手権",VLOOKUP($FC32,参照データ!$D$92:$O$121,10,0),""))</f>
        <v/>
      </c>
      <c r="AA32" s="446"/>
      <c r="AB32" s="666" t="str">
        <f>IF($AA32="オープン",VLOOKUP($CO32,参照データ!$D$69:$M$86,10,0),IF($AA32="選手権",VLOOKUP($FC32,参照データ!$D$92:$O$121,11,0),""))</f>
        <v/>
      </c>
      <c r="AC32" s="669"/>
      <c r="AD32" s="396" t="str">
        <f>IF($AC32="オープン",VLOOKUP($CO32,参照データ!$D$69:$M$86,10,0),IF($AC32="選手権",VLOOKUP($FC32,参照データ!$D$92:$O$121,11,0),""))</f>
        <v/>
      </c>
      <c r="AE32" s="446"/>
      <c r="AF32" s="396" t="str">
        <f>IF($AE32="オープン",VLOOKUP($CO32,参照データ!$D$69:$M$86,10,0),IF($AE32="選手権",VLOOKUP($FJ32,参照データ!$D$92:$O$121,12,0),""))</f>
        <v/>
      </c>
      <c r="AG32" s="446"/>
      <c r="AH32" s="396" t="str">
        <f>IF($AG32="オープン",VLOOKUP($CO32,参照データ!$D$69:$M$86,10,0),IF($AG32="選手権",VLOOKUP($FJ32,参照データ!$D$92:$O$121,12,0),""))</f>
        <v/>
      </c>
      <c r="AI32" s="446"/>
      <c r="AJ32" s="449"/>
      <c r="AK32" s="396" t="str">
        <f t="shared" si="3"/>
        <v/>
      </c>
      <c r="AL32" s="587"/>
      <c r="AM32" s="588" t="str">
        <f>IF($BJ32=0,"",DATEDIF($BJ32,参照データ!$D$17,"Y"))</f>
        <v/>
      </c>
      <c r="AN32" s="450"/>
      <c r="AO32" s="591" t="str">
        <f>IF(AN32="","",IF($BK32="男子",VLOOKUP($DI32,参照データ!$D$128:$M$145,10,FALSE),VLOOKUP($DH32,参照データ!$D$128:$M$145,10,FALSE)))</f>
        <v/>
      </c>
      <c r="AP32" s="450"/>
      <c r="AQ32" s="591" t="str">
        <f>IF(AP32="","",IF($BK32="男子",VLOOKUP($DI32,参照データ!$D$128:$M$145,10,FALSE),VLOOKUP($DH32,参照データ!$D$128:$M$145,10,FALSE)))</f>
        <v/>
      </c>
      <c r="AR32" s="450"/>
      <c r="AS32" s="591" t="str">
        <f>IF(AR32="","",IF($BK32="男子",VLOOKUP($DI32,参照データ!$D$128:$M$145,10,FALSE),VLOOKUP($DH32,参照データ!$D$128:$M$145,10,FALSE)))</f>
        <v/>
      </c>
      <c r="AT32" s="450"/>
      <c r="AU32" s="591" t="str">
        <f>IF(AT32="","",IF($BK32="男子",VLOOKUP($DI32,参照データ!$D$128:$M$145,10,FALSE),VLOOKUP($DH32,参照データ!$D$128:$M$145,10,FALSE)))</f>
        <v/>
      </c>
      <c r="AV32" s="448"/>
      <c r="AW32" s="448"/>
      <c r="AX32" s="585" t="str">
        <f t="shared" si="25"/>
        <v/>
      </c>
      <c r="AY32" s="448"/>
      <c r="AZ32" s="448"/>
      <c r="BA32" s="585" t="str">
        <f t="shared" si="83"/>
        <v/>
      </c>
      <c r="BB32" s="677"/>
      <c r="BC32" s="724"/>
      <c r="BD32" s="640"/>
      <c r="BE32" s="482"/>
      <c r="BF32" s="365"/>
      <c r="BG32" s="366"/>
      <c r="BJ32">
        <f t="shared" si="75"/>
        <v>0</v>
      </c>
      <c r="BK32" t="str">
        <f t="shared" si="65"/>
        <v/>
      </c>
      <c r="BL32" s="146"/>
      <c r="BO32" s="61" t="str">
        <f>IF($BJ32=0,"",IF(AND($I32&gt;=6,$I32&lt;=19),VLOOKUP($I32,参照データ!$B$28:$C$41,2,0),IF($I32&lt;6,6,19)))</f>
        <v/>
      </c>
      <c r="BP32" s="178" t="str">
        <f>IF($J32=$BI$12,VLOOKUP($BO32,参照データ!$C$28:$I$41,2,0),"")</f>
        <v/>
      </c>
      <c r="BQ32" s="169" t="str">
        <f>IF($K32=$BI$12,VLOOKUP($BO32,参照データ!$C$28:$I$41,3,0),"")</f>
        <v/>
      </c>
      <c r="BR32" s="169" t="str">
        <f>IF($L32=$BI$12,VLOOKUP($BO32,参照データ!$C$28:$I$41,4,0),"")</f>
        <v/>
      </c>
      <c r="BS32" s="169" t="str">
        <f>IF($M32=$BI$12,VLOOKUP($BO32,参照データ!$C$28:$I$41,5,0),"")</f>
        <v/>
      </c>
      <c r="BT32" s="169" t="str">
        <f>IF($N32=$BI$12,VLOOKUP($BO32,参照データ!$C$28:$I$41,6,0),"")</f>
        <v/>
      </c>
      <c r="BU32" s="179" t="str">
        <f>IF($O32=$BI$12,VLOOKUP($BO32,参照データ!$C$28:$I$41,7,0),"")</f>
        <v/>
      </c>
      <c r="BV32" s="178" t="str">
        <f>IF($J32=$BI$13,VLOOKUP($BO32,参照データ!$C$28:$I$41,2,0),"")</f>
        <v/>
      </c>
      <c r="BW32" s="169" t="str">
        <f>IF($K32=$BI$13,VLOOKUP($BO32,参照データ!$C$28:$I$41,3,0),"")</f>
        <v/>
      </c>
      <c r="BX32" s="169" t="str">
        <f>IF($L32=$BI$13,VLOOKUP($BO32,参照データ!$C$28:$I$41,4,0),"")</f>
        <v/>
      </c>
      <c r="BY32" s="169" t="str">
        <f>IF($M32=$BI$13,VLOOKUP($BO32,参照データ!$C$28:$I$41,5,0),"")</f>
        <v/>
      </c>
      <c r="BZ32" s="169" t="str">
        <f>IF($N32=$BI$13,VLOOKUP($BO32,参照データ!$C$28:$I$41,6,0),"")</f>
        <v/>
      </c>
      <c r="CA32" s="179" t="str">
        <f>IF($O32=$BI$13,VLOOKUP($BO32,参照データ!$C$28:$I$41,7,0),"")</f>
        <v/>
      </c>
      <c r="CB32" s="271" t="str">
        <f t="shared" si="26"/>
        <v/>
      </c>
      <c r="CC32" s="177" t="str">
        <f>IF($Q32="入門",VLOOKUP($BO32,参照データ!$C$47:$U$60,2,0),IF($Q32="初級",VLOOKUP($BO32,参照データ!$C$47:$U$60,3,0),IF($Q32="中級",VLOOKUP($BO32,参照データ!$C$47:$U$60,4,0),IF($Q32="上級",VLOOKUP($BO32,参照データ!$C$47:$U$60,5,0),""))))</f>
        <v/>
      </c>
      <c r="CD32" s="177" t="str">
        <f>IF($R32="初級",VLOOKUP($BO32,参照データ!$C$47:$U$60,6,0),IF($R32="中級",VLOOKUP($BO32,参照データ!$C$47:$U$60,7,0),IF($R32="上級",VLOOKUP($BO32,参照データ!$C$47:$U$60,8,0),"")))</f>
        <v/>
      </c>
      <c r="CE32" s="177" t="str">
        <f>IF($S32="初級",VLOOKUP($BO32,参照データ!$C$47:$U$60,9,0),IF($S32="上級",VLOOKUP($BO32,参照データ!$C$47:$U$60,10,0),""))</f>
        <v/>
      </c>
      <c r="CF32" s="177" t="str">
        <f>IF($T32="初級",VLOOKUP($BO32,参照データ!$C$47:$U$60,11,0),IF($T32="中級",VLOOKUP($BO32,参照データ!$C$47:$U$60,12,0),IF($T32="上級",VLOOKUP($BO32,参照データ!$C$47:$U$60,13,0),"")))</f>
        <v/>
      </c>
      <c r="CG32" s="177" t="str">
        <f>IF($U32="初級",VLOOKUP($BO32,参照データ!$C$47:$U$60,14,0),IF($U32="中級",VLOOKUP($BO32,参照データ!$C$47:$U$60,15,0),IF($U32="上級",VLOOKUP($BO32,参照データ!$C$47:$U$60,16,0),"")))</f>
        <v/>
      </c>
      <c r="CH32" s="55" t="str">
        <f t="shared" si="5"/>
        <v/>
      </c>
      <c r="CI32" s="55" t="str">
        <f>IF($V32="初級",VLOOKUP($BO32,参照データ!$C$47:$U$60,17,0),IF($V32="中級",VLOOKUP($BO32,参照データ!$C$47:$U$60,18,0),IF($V32="上級",VLOOKUP($BO32,参照データ!$C$47:$U$60,19,0),"")))</f>
        <v/>
      </c>
      <c r="CJ32" s="867">
        <v>11</v>
      </c>
      <c r="CK32" s="74" t="s">
        <v>256</v>
      </c>
      <c r="CL32" s="151" t="str">
        <f t="shared" si="6"/>
        <v/>
      </c>
      <c r="CM32" s="871" t="str">
        <f t="shared" ref="CM32" si="100">IF(OR($CL32="",$CL33=""),"",IF($CL32&gt;$CL33,$CL32,$CL33))</f>
        <v/>
      </c>
      <c r="CO32" s="61">
        <f>IF(AND($BJ32&gt;=参照データ!$C$71,$BJ32&lt;=参照データ!$C$69),1,IF(AND($BJ32&gt;=参照データ!$C$74,$BJ32&lt;=参照データ!$C$72),2,IF(AND($BJ32&gt;=参照データ!$C$77,$BJ32&lt;=参照データ!$C$75),3,IF(AND($BJ32&gt;=参照データ!$C$80,$BJ32&lt;=参照データ!$C$78),4,IF(AND($BJ32&gt;=参照データ!$C$83,$BJ32&lt;=参照データ!$C$81),5,IF(AND($BJ32&gt;0,$BJ32&lt;=参照データ!$C$84),6,""))))))</f>
        <v>5</v>
      </c>
      <c r="CP32" s="160" t="str">
        <f>IF($Y32="オープン",(VLOOKUP($CO32,参照データ!$D$69:$J$86,2,0)),"")</f>
        <v/>
      </c>
      <c r="CQ32" s="79" t="str">
        <f t="shared" si="27"/>
        <v/>
      </c>
      <c r="CR32" s="78" t="str">
        <f>IF($AA32="オープン",(VLOOKUP($CO32,参照データ!$D$69:$J$86,3,0)),"")</f>
        <v/>
      </c>
      <c r="CS32" s="79" t="str">
        <f t="shared" si="28"/>
        <v/>
      </c>
      <c r="CT32" s="78" t="str">
        <f>IF($AC32="オープン",(VLOOKUP($CO32,参照データ!$D$69:$J$86,4,0)),"")</f>
        <v/>
      </c>
      <c r="CU32" s="79" t="str">
        <f t="shared" si="29"/>
        <v/>
      </c>
      <c r="CV32" s="78" t="str">
        <f>IF($AE32="オープン",(VLOOKUP($CO32,参照データ!$D$69:$J$86,5,0)),"")</f>
        <v/>
      </c>
      <c r="CW32" s="79" t="str">
        <f t="shared" si="7"/>
        <v/>
      </c>
      <c r="CX32" s="78" t="str">
        <f>IF($AG32="オープン",(VLOOKUP($CO32,参照データ!$D$69:$J$86,6,0)),"")</f>
        <v/>
      </c>
      <c r="CY32" s="79" t="str">
        <f t="shared" si="30"/>
        <v/>
      </c>
      <c r="CZ32" s="38" t="str">
        <f t="shared" si="31"/>
        <v/>
      </c>
      <c r="DA32" s="37" t="str">
        <f t="shared" si="32"/>
        <v/>
      </c>
      <c r="DB32" s="79" t="str">
        <f t="shared" si="33"/>
        <v/>
      </c>
      <c r="DC32" s="857">
        <v>11</v>
      </c>
      <c r="DD32" s="87" t="s">
        <v>106</v>
      </c>
      <c r="DE32" s="88" t="str">
        <f t="shared" si="34"/>
        <v/>
      </c>
      <c r="DF32" s="859" t="e">
        <f>IF($DE32&gt;$DE33,VLOOKUP($DE32,参照データ!$D$69:$J$86,7,0),VLOOKUP($DE33,参照データ!$D$69:$J$86,7,0))</f>
        <v>#N/A</v>
      </c>
      <c r="DG32" s="350" t="str">
        <f>IFERROR(VLOOKUP($DF32,参照データ!$J$69:$M$86,4,0),"")</f>
        <v/>
      </c>
      <c r="DH32" s="523">
        <f>IF(AND($BJ32&gt;=参照データ!$C$130,$BJ32&lt;=参照データ!$C$128),1,IF(AND($BJ32&gt;=参照データ!$C$133,$BJ32&lt;=参照データ!$C$131),2,IF(AND($BJ32&gt;=参照データ!$C$139,$BJ32&lt;=参照データ!$C$137),3,IF(AND($BJ32&gt;0,$BJ32&lt;=参照データ!$C$140),4,""))))</f>
        <v>1</v>
      </c>
      <c r="DI32" s="523">
        <f t="shared" si="35"/>
        <v>7</v>
      </c>
      <c r="DJ32" s="523" t="str">
        <f t="shared" si="36"/>
        <v/>
      </c>
      <c r="DK32" s="524" t="str">
        <f>IF($AN32="","",IF(AND($AN32="○",$BK32="男子"),VLOOKUP($DI32,参照データ!$D$128:$J$145,3,FALSE),VLOOKUP($DH32,参照データ!$D$128:$J$145,3,FALSE)))</f>
        <v/>
      </c>
      <c r="DL32" s="525" t="str">
        <f t="shared" si="37"/>
        <v/>
      </c>
      <c r="DM32" s="524" t="str">
        <f>IF($AP32="","",IF(AND($AP32="○",$BK32="男子"),VLOOKUP($DI32,参照データ!$D$128:$J$145,4,FALSE),VLOOKUP($DH32,参照データ!$D$128:$J$145,4,FALSE)))</f>
        <v/>
      </c>
      <c r="DN32" s="525" t="str">
        <f t="shared" si="38"/>
        <v/>
      </c>
      <c r="DO32" s="524" t="str">
        <f>IF($AR32="","",IF(AND($AR32="○",$BK32="男子"),VLOOKUP($DI32,参照データ!$D$128:$J$145,5,FALSE),VLOOKUP($DH32,参照データ!$D$128:$J$145,5,FALSE)))</f>
        <v/>
      </c>
      <c r="DP32" s="525" t="str">
        <f t="shared" si="39"/>
        <v/>
      </c>
      <c r="DQ32" s="524" t="str">
        <f>IF($AT32="","",IF(AND($AT32="○",$BK32="男子"),VLOOKUP($DI32,参照データ!$D$128:$J$145,6,FALSE),VLOOKUP($DH32,参照データ!$D$128:$J$145,6,FALSE)))</f>
        <v/>
      </c>
      <c r="DR32" s="525" t="str">
        <f t="shared" si="40"/>
        <v/>
      </c>
      <c r="DS32" s="526" t="str">
        <f t="shared" si="41"/>
        <v/>
      </c>
      <c r="DT32" s="527" t="str">
        <f t="shared" si="42"/>
        <v/>
      </c>
      <c r="DU32" s="528" t="str">
        <f t="shared" si="43"/>
        <v/>
      </c>
      <c r="DV32" s="982">
        <v>11</v>
      </c>
      <c r="DW32" s="533" t="s">
        <v>106</v>
      </c>
      <c r="DX32" s="534" t="str">
        <f t="shared" si="92"/>
        <v/>
      </c>
      <c r="DY32" s="877" t="e">
        <f>IF($DX32&gt;$DX33,VLOOKUP($DX32,参照データ!$D$128:$K$145,7,0),VLOOKUP($DX33,参照データ!$D$128:$K$145,7,0))</f>
        <v>#N/A</v>
      </c>
      <c r="DZ32" s="692" t="str">
        <f>IFERROR(VLOOKUP($DY32,参照データ!$J$128:$N$145,5,0),"")</f>
        <v/>
      </c>
      <c r="EA32" s="526" t="str">
        <f t="shared" si="85"/>
        <v/>
      </c>
      <c r="EB32" s="527" t="str">
        <f t="shared" si="86"/>
        <v/>
      </c>
      <c r="EC32" s="528" t="str">
        <f t="shared" si="87"/>
        <v/>
      </c>
      <c r="ED32" s="982">
        <v>11</v>
      </c>
      <c r="EE32" s="533" t="s">
        <v>106</v>
      </c>
      <c r="EF32" s="533" t="str">
        <f t="shared" si="88"/>
        <v/>
      </c>
      <c r="EG32" s="534" t="str">
        <f>IF(SUM(EF32:EF33)&lt;24,"",IF(SUM(EF32:EF33)&gt;=36,3,2))</f>
        <v/>
      </c>
      <c r="EH32" s="877" t="e">
        <f>IF($EG32&gt;$EG33,VLOOKUP($EG32,参照データ!$D$128:$K$145,8,0),VLOOKUP($EG33,参照データ!$D$128:$K$145,8,0))</f>
        <v>#N/A</v>
      </c>
      <c r="EI32" s="527" t="str">
        <f>IFERROR(VLOOKUP($EH32,参照データ!$K$128:$N$145,4,0),"")</f>
        <v/>
      </c>
      <c r="EJ32" s="555" t="str">
        <f t="shared" si="13"/>
        <v/>
      </c>
      <c r="EK32" s="556" t="str">
        <f t="shared" si="44"/>
        <v/>
      </c>
      <c r="EL32" s="845">
        <v>3</v>
      </c>
      <c r="EM32" s="561" t="s">
        <v>783</v>
      </c>
      <c r="EN32" s="566" t="str">
        <f t="shared" si="45"/>
        <v/>
      </c>
      <c r="EO32" s="848" t="str">
        <f>IF(COUNTIF(EN32:EN41,"○")&gt;=1,"TT","")</f>
        <v/>
      </c>
      <c r="EP32" s="555" t="str">
        <f t="shared" si="14"/>
        <v/>
      </c>
      <c r="EQ32" s="556" t="str">
        <f t="shared" si="46"/>
        <v/>
      </c>
      <c r="ER32" s="845">
        <v>3</v>
      </c>
      <c r="ES32" s="561" t="s">
        <v>783</v>
      </c>
      <c r="ET32" s="566" t="str">
        <f t="shared" si="47"/>
        <v/>
      </c>
      <c r="EU32" s="848" t="str">
        <f>IF(COUNTIF(ET32:ET41,"○")&gt;=1,"FT","")</f>
        <v/>
      </c>
      <c r="EV32" s="38" t="str">
        <f t="shared" si="15"/>
        <v/>
      </c>
      <c r="EW32" s="552" t="str">
        <f t="shared" si="48"/>
        <v/>
      </c>
      <c r="EX32" s="833"/>
      <c r="EY32" s="559" t="s">
        <v>782</v>
      </c>
      <c r="EZ32" s="560" t="str">
        <f t="shared" si="49"/>
        <v/>
      </c>
      <c r="FA32" s="835"/>
      <c r="FB32" t="str">
        <f>IF($FC32="","",DATEDIF($BJ32,参照データ!$D$19,"Y"))</f>
        <v/>
      </c>
      <c r="FC32" s="298" t="str">
        <f>IFERROR(IF($BK32="男子",VLOOKUP($FJ32,参照データ!$D$92:$E$118,2,0),$FJ32),0)</f>
        <v/>
      </c>
      <c r="FD32" s="92" t="str">
        <f>IF($Y32="選手権",(VLOOKUP($FC32,参照データ!$D$92:$K$121,3,0)),"")</f>
        <v/>
      </c>
      <c r="FE32" s="93" t="str">
        <f t="shared" si="16"/>
        <v/>
      </c>
      <c r="FF32" s="92" t="str">
        <f>IF($AA32="選手権",(VLOOKUP($FC32,参照データ!$D$92:$K$121,4,0)),"")</f>
        <v/>
      </c>
      <c r="FG32" s="93" t="str">
        <f t="shared" si="17"/>
        <v/>
      </c>
      <c r="FH32" s="92" t="str">
        <f>IF($AC32="選手権",(VLOOKUP($FC32,参照データ!$D$92:$K$121,5,0)),"")</f>
        <v/>
      </c>
      <c r="FI32" s="93" t="str">
        <f t="shared" si="18"/>
        <v/>
      </c>
      <c r="FJ32" s="61" t="str">
        <f>IF(AND($BJ32&gt;=参照データ!$C$94,$BJ32&lt;=参照データ!$C$92),1,IF(AND($BJ32&gt;=参照データ!$C$97,$BJ32&lt;=参照データ!$C$95),2,IF(AND($BJ32&gt;=参照データ!$C$103,$BJ32&lt;=参照データ!$C$101),3,IF(AND($BJ32&gt;=参照データ!$C$109,$BJ32&lt;=参照データ!$C$107),4,IF(AND($BJ32&gt;=参照データ!$C$115,$BJ32&lt;=参照データ!$C$113),5,IF(AND($BJ32&gt;0,$BJ32&lt;=参照データ!$C$116),6,""))))))</f>
        <v/>
      </c>
      <c r="FK32" s="92" t="str">
        <f>IF($AE32="選手権",(VLOOKUP($FJ32,参照データ!$D$92:$K$121,6,0)),"")</f>
        <v/>
      </c>
      <c r="FL32" s="93" t="str">
        <f t="shared" si="19"/>
        <v/>
      </c>
      <c r="FM32" s="92" t="str">
        <f>IF($AG32="選手権",(VLOOKUP($FJ32,参照データ!$D$92:$K$121,7,0)),"")</f>
        <v/>
      </c>
      <c r="FN32" s="93" t="str">
        <f t="shared" si="50"/>
        <v/>
      </c>
      <c r="FO32" s="38" t="str">
        <f t="shared" si="51"/>
        <v/>
      </c>
      <c r="FP32" s="37" t="str">
        <f t="shared" si="52"/>
        <v/>
      </c>
      <c r="FQ32" s="93" t="str">
        <f t="shared" si="53"/>
        <v/>
      </c>
      <c r="FR32" s="979">
        <v>11</v>
      </c>
      <c r="FS32" s="101" t="s">
        <v>106</v>
      </c>
      <c r="FT32" s="102" t="str">
        <f t="shared" si="20"/>
        <v/>
      </c>
      <c r="FU32" s="980" t="e">
        <f>IF($FT32&gt;$FT33,VLOOKUP($FT32,参照データ!$D$92:$K$121,8,0),VLOOKUP($FT33,参照データ!$D$92:$K$121,8,0))</f>
        <v>#N/A</v>
      </c>
      <c r="FV32" s="356" t="str">
        <f>IFERROR(VLOOKUP($FU32,参照データ!$K$92:$O$121,5,0),"")</f>
        <v/>
      </c>
      <c r="FY32" s="40">
        <f>(COUNTIF($J32:$O32,"&lt;&gt;"))*参照データ!$E$3</f>
        <v>0</v>
      </c>
      <c r="FZ32" s="267" t="str">
        <f>IF($P32="○",参照データ!$E$4,"")</f>
        <v/>
      </c>
      <c r="GA32" s="19">
        <f>(SUM(COUNTIF($Q32:$U32,{"入門","初級"}))*参照データ!$E$9)+(SUM(COUNTIF($Q32:$U32,{"中級","上級"})*参照データ!$E$10))</f>
        <v>0</v>
      </c>
      <c r="GB32" s="19">
        <f>IFERROR(VLOOKUP($V32,参照データ!$D$9:$J$11,7,0),0)</f>
        <v>0</v>
      </c>
      <c r="GC32" s="19">
        <f>((COUNTIF($Y32:$AG32,"オープン"))*参照データ!$E$12)</f>
        <v>0</v>
      </c>
      <c r="GD32" s="19" t="str">
        <f>(IF($AI32="オープン",参照データ!$J$12,""))</f>
        <v/>
      </c>
      <c r="GE32" s="19">
        <f>(COUNTIF($AN32:$AU32,"○")*参照データ!$E$22)</f>
        <v>0</v>
      </c>
      <c r="GF32" s="19">
        <f>(COUNTIF($AV32:$BA32,"○")*参照データ!$I$22)</f>
        <v>0</v>
      </c>
      <c r="GI32" s="19">
        <f>((COUNTIF($Y32:$AG32,"選手権"))*参照データ!$E$13)</f>
        <v>0</v>
      </c>
      <c r="GJ32" s="19" t="str">
        <f>(IF($AI32="選手権",参照データ!$J$13,""))</f>
        <v/>
      </c>
      <c r="GK32" s="106">
        <f t="array" ref="GK32">SUM(IF(ISERROR(FY32:GJ32),0,(FY32:GJ32)))</f>
        <v>0</v>
      </c>
      <c r="GL32" s="19"/>
      <c r="GM32" s="19">
        <f t="shared" si="54"/>
        <v>0</v>
      </c>
      <c r="GN32" s="19">
        <f t="shared" si="55"/>
        <v>0</v>
      </c>
      <c r="GO32" s="19">
        <f t="shared" si="56"/>
        <v>0</v>
      </c>
      <c r="GP32" s="19">
        <f t="shared" si="21"/>
        <v>0</v>
      </c>
      <c r="GQ32" s="19">
        <f t="shared" si="57"/>
        <v>0</v>
      </c>
      <c r="GR32" s="19">
        <f t="shared" si="58"/>
        <v>0</v>
      </c>
      <c r="GS32" s="19">
        <f t="shared" si="59"/>
        <v>0</v>
      </c>
      <c r="GT32" s="19">
        <f t="shared" si="60"/>
        <v>0</v>
      </c>
      <c r="GU32" s="19">
        <f t="shared" si="61"/>
        <v>0</v>
      </c>
      <c r="GV32" t="str">
        <f t="shared" si="22"/>
        <v/>
      </c>
      <c r="GW32" t="str">
        <f t="shared" si="62"/>
        <v/>
      </c>
      <c r="GX32" t="str">
        <f t="shared" si="23"/>
        <v/>
      </c>
      <c r="GY32" t="str">
        <f t="shared" si="63"/>
        <v/>
      </c>
      <c r="GZ32" t="str">
        <f t="shared" si="24"/>
        <v/>
      </c>
    </row>
    <row r="33" spans="1:208" ht="18.75" customHeight="1" x14ac:dyDescent="0.15">
      <c r="A33">
        <v>22</v>
      </c>
      <c r="B33" s="15" t="str">
        <f>IF(D33="","",IF(D33="重複","",COUNTIF(B$12:$B32,"&gt;0")+1))</f>
        <v/>
      </c>
      <c r="C33" s="713"/>
      <c r="D33" s="185"/>
      <c r="E33" s="185"/>
      <c r="F33" s="36"/>
      <c r="G33" s="47"/>
      <c r="H33" s="402">
        <f t="shared" si="2"/>
        <v>0</v>
      </c>
      <c r="I33" s="201" t="str">
        <f>IF($BJ33=0,"",DATEDIF($BJ33,参照データ!$D$16,"Y"))</f>
        <v/>
      </c>
      <c r="J33" s="41"/>
      <c r="K33" s="41"/>
      <c r="L33" s="41"/>
      <c r="M33" s="41"/>
      <c r="N33" s="41"/>
      <c r="O33" s="49"/>
      <c r="P33" s="395"/>
      <c r="Q33" s="51"/>
      <c r="R33" s="289"/>
      <c r="S33" s="289"/>
      <c r="T33" s="289"/>
      <c r="U33" s="290"/>
      <c r="V33" s="293"/>
      <c r="W33" s="295"/>
      <c r="Y33" s="446"/>
      <c r="Z33" s="396" t="str">
        <f>IF($Y33="オープン",VLOOKUP($CO33,参照データ!$D$69:$M$86,9,0),IF($Y33="選手権",VLOOKUP($FC33,参照データ!$D$92:$O$121,10,0),""))</f>
        <v/>
      </c>
      <c r="AA33" s="446"/>
      <c r="AB33" s="666" t="str">
        <f>IF($AA33="オープン",VLOOKUP($CO33,参照データ!$D$69:$M$86,10,0),IF($AA33="選手権",VLOOKUP($FC33,参照データ!$D$92:$O$121,11,0),""))</f>
        <v/>
      </c>
      <c r="AC33" s="669"/>
      <c r="AD33" s="396" t="str">
        <f>IF($AC33="オープン",VLOOKUP($CO33,参照データ!$D$69:$M$86,10,0),IF($AC33="選手権",VLOOKUP($FC33,参照データ!$D$92:$O$121,11,0),""))</f>
        <v/>
      </c>
      <c r="AE33" s="446"/>
      <c r="AF33" s="396" t="str">
        <f>IF($AE33="オープン",VLOOKUP($CO33,参照データ!$D$69:$M$86,10,0),IF($AE33="選手権",VLOOKUP($FJ33,参照データ!$D$92:$O$121,12,0),""))</f>
        <v/>
      </c>
      <c r="AG33" s="446"/>
      <c r="AH33" s="396" t="str">
        <f>IF($AG33="オープン",VLOOKUP($CO33,参照データ!$D$69:$M$86,10,0),IF($AG33="選手権",VLOOKUP($FJ33,参照データ!$D$92:$O$121,12,0),""))</f>
        <v/>
      </c>
      <c r="AI33" s="446"/>
      <c r="AJ33" s="449"/>
      <c r="AK33" s="396" t="str">
        <f t="shared" si="3"/>
        <v/>
      </c>
      <c r="AL33" s="587"/>
      <c r="AM33" s="588" t="str">
        <f>IF($BJ33=0,"",DATEDIF($BJ33,参照データ!$D$17,"Y"))</f>
        <v/>
      </c>
      <c r="AN33" s="450"/>
      <c r="AO33" s="591" t="str">
        <f>IF(AN33="","",IF($BK33="男子",VLOOKUP($DI33,参照データ!$D$128:$M$145,10,FALSE),VLOOKUP($DH33,参照データ!$D$128:$M$145,10,FALSE)))</f>
        <v/>
      </c>
      <c r="AP33" s="450"/>
      <c r="AQ33" s="591" t="str">
        <f>IF(AP33="","",IF($BK33="男子",VLOOKUP($DI33,参照データ!$D$128:$M$145,10,FALSE),VLOOKUP($DH33,参照データ!$D$128:$M$145,10,FALSE)))</f>
        <v/>
      </c>
      <c r="AR33" s="450"/>
      <c r="AS33" s="591" t="str">
        <f>IF(AR33="","",IF($BK33="男子",VLOOKUP($DI33,参照データ!$D$128:$M$145,10,FALSE),VLOOKUP($DH33,参照データ!$D$128:$M$145,10,FALSE)))</f>
        <v/>
      </c>
      <c r="AT33" s="450"/>
      <c r="AU33" s="591" t="str">
        <f>IF(AT33="","",IF($BK33="男子",VLOOKUP($DI33,参照データ!$D$128:$M$145,10,FALSE),VLOOKUP($DH33,参照データ!$D$128:$M$145,10,FALSE)))</f>
        <v/>
      </c>
      <c r="AV33" s="448"/>
      <c r="AW33" s="448"/>
      <c r="AX33" s="585" t="str">
        <f t="shared" si="25"/>
        <v/>
      </c>
      <c r="AY33" s="448"/>
      <c r="AZ33" s="448"/>
      <c r="BA33" s="585" t="str">
        <f t="shared" si="83"/>
        <v/>
      </c>
      <c r="BB33" s="677"/>
      <c r="BC33" s="724"/>
      <c r="BD33" s="640"/>
      <c r="BE33" s="482"/>
      <c r="BF33" s="365"/>
      <c r="BG33" s="366"/>
      <c r="BJ33">
        <f t="shared" si="75"/>
        <v>0</v>
      </c>
      <c r="BK33" t="str">
        <f t="shared" si="65"/>
        <v/>
      </c>
      <c r="BL33" s="146"/>
      <c r="BO33" s="61" t="str">
        <f>IF($BJ33=0,"",IF(AND($I33&gt;=6,$I33&lt;=19),VLOOKUP($I33,参照データ!$B$28:$C$41,2,0),IF($I33&lt;6,6,19)))</f>
        <v/>
      </c>
      <c r="BP33" s="178" t="str">
        <f>IF($J33=$BI$12,VLOOKUP($BO33,参照データ!$C$28:$I$41,2,0),"")</f>
        <v/>
      </c>
      <c r="BQ33" s="169" t="str">
        <f>IF($K33=$BI$12,VLOOKUP($BO33,参照データ!$C$28:$I$41,3,0),"")</f>
        <v/>
      </c>
      <c r="BR33" s="169" t="str">
        <f>IF($L33=$BI$12,VLOOKUP($BO33,参照データ!$C$28:$I$41,4,0),"")</f>
        <v/>
      </c>
      <c r="BS33" s="169" t="str">
        <f>IF($M33=$BI$12,VLOOKUP($BO33,参照データ!$C$28:$I$41,5,0),"")</f>
        <v/>
      </c>
      <c r="BT33" s="169" t="str">
        <f>IF($N33=$BI$12,VLOOKUP($BO33,参照データ!$C$28:$I$41,6,0),"")</f>
        <v/>
      </c>
      <c r="BU33" s="179" t="str">
        <f>IF($O33=$BI$12,VLOOKUP($BO33,参照データ!$C$28:$I$41,7,0),"")</f>
        <v/>
      </c>
      <c r="BV33" s="178" t="str">
        <f>IF($J33=$BI$13,VLOOKUP($BO33,参照データ!$C$28:$I$41,2,0),"")</f>
        <v/>
      </c>
      <c r="BW33" s="169" t="str">
        <f>IF($K33=$BI$13,VLOOKUP($BO33,参照データ!$C$28:$I$41,3,0),"")</f>
        <v/>
      </c>
      <c r="BX33" s="169" t="str">
        <f>IF($L33=$BI$13,VLOOKUP($BO33,参照データ!$C$28:$I$41,4,0),"")</f>
        <v/>
      </c>
      <c r="BY33" s="169" t="str">
        <f>IF($M33=$BI$13,VLOOKUP($BO33,参照データ!$C$28:$I$41,5,0),"")</f>
        <v/>
      </c>
      <c r="BZ33" s="169" t="str">
        <f>IF($N33=$BI$13,VLOOKUP($BO33,参照データ!$C$28:$I$41,6,0),"")</f>
        <v/>
      </c>
      <c r="CA33" s="179" t="str">
        <f>IF($O33=$BI$13,VLOOKUP($BO33,参照データ!$C$28:$I$41,7,0),"")</f>
        <v/>
      </c>
      <c r="CB33" s="271" t="str">
        <f t="shared" si="26"/>
        <v/>
      </c>
      <c r="CC33" s="177" t="str">
        <f>IF($Q33="入門",VLOOKUP($BO33,参照データ!$C$47:$U$60,2,0),IF($Q33="初級",VLOOKUP($BO33,参照データ!$C$47:$U$60,3,0),IF($Q33="中級",VLOOKUP($BO33,参照データ!$C$47:$U$60,4,0),IF($Q33="上級",VLOOKUP($BO33,参照データ!$C$47:$U$60,5,0),""))))</f>
        <v/>
      </c>
      <c r="CD33" s="177" t="str">
        <f>IF($R33="初級",VLOOKUP($BO33,参照データ!$C$47:$U$60,6,0),IF($R33="中級",VLOOKUP($BO33,参照データ!$C$47:$U$60,7,0),IF($R33="上級",VLOOKUP($BO33,参照データ!$C$47:$U$60,8,0),"")))</f>
        <v/>
      </c>
      <c r="CE33" s="177" t="str">
        <f>IF($S33="初級",VLOOKUP($BO33,参照データ!$C$47:$U$60,9,0),IF($S33="上級",VLOOKUP($BO33,参照データ!$C$47:$U$60,10,0),""))</f>
        <v/>
      </c>
      <c r="CF33" s="177" t="str">
        <f>IF($T33="初級",VLOOKUP($BO33,参照データ!$C$47:$U$60,11,0),IF($T33="中級",VLOOKUP($BO33,参照データ!$C$47:$U$60,12,0),IF($T33="上級",VLOOKUP($BO33,参照データ!$C$47:$U$60,13,0),"")))</f>
        <v/>
      </c>
      <c r="CG33" s="177" t="str">
        <f>IF($U33="初級",VLOOKUP($BO33,参照データ!$C$47:$U$60,14,0),IF($U33="中級",VLOOKUP($BO33,参照データ!$C$47:$U$60,15,0),IF($U33="上級",VLOOKUP($BO33,参照データ!$C$47:$U$60,16,0),"")))</f>
        <v/>
      </c>
      <c r="CH33" s="55" t="str">
        <f t="shared" si="5"/>
        <v/>
      </c>
      <c r="CI33" s="55" t="str">
        <f>IF($V33="初級",VLOOKUP($BO33,参照データ!$C$47:$U$60,17,0),IF($V33="中級",VLOOKUP($BO33,参照データ!$C$47:$U$60,18,0),IF($V33="上級",VLOOKUP($BO33,参照データ!$C$47:$U$60,19,0),"")))</f>
        <v/>
      </c>
      <c r="CJ33" s="868"/>
      <c r="CK33" s="73" t="s">
        <v>257</v>
      </c>
      <c r="CL33" s="150" t="str">
        <f t="shared" si="6"/>
        <v/>
      </c>
      <c r="CM33" s="872"/>
      <c r="CO33" s="61">
        <f>IF(AND($BJ33&gt;=参照データ!$C$71,$BJ33&lt;=参照データ!$C$69),1,IF(AND($BJ33&gt;=参照データ!$C$74,$BJ33&lt;=参照データ!$C$72),2,IF(AND($BJ33&gt;=参照データ!$C$77,$BJ33&lt;=参照データ!$C$75),3,IF(AND($BJ33&gt;=参照データ!$C$80,$BJ33&lt;=参照データ!$C$78),4,IF(AND($BJ33&gt;=参照データ!$C$83,$BJ33&lt;=参照データ!$C$81),5,IF(AND($BJ33&gt;0,$BJ33&lt;=参照データ!$C$84),6,""))))))</f>
        <v>5</v>
      </c>
      <c r="CP33" s="160" t="str">
        <f>IF($Y33="オープン",(VLOOKUP($CO33,参照データ!$D$69:$J$86,2,0)),"")</f>
        <v/>
      </c>
      <c r="CQ33" s="79" t="str">
        <f t="shared" si="27"/>
        <v/>
      </c>
      <c r="CR33" s="78" t="str">
        <f>IF($AA33="オープン",(VLOOKUP($CO33,参照データ!$D$69:$J$86,3,0)),"")</f>
        <v/>
      </c>
      <c r="CS33" s="79" t="str">
        <f t="shared" si="28"/>
        <v/>
      </c>
      <c r="CT33" s="78" t="str">
        <f>IF($AC33="オープン",(VLOOKUP($CO33,参照データ!$D$69:$J$86,4,0)),"")</f>
        <v/>
      </c>
      <c r="CU33" s="79" t="str">
        <f t="shared" si="29"/>
        <v/>
      </c>
      <c r="CV33" s="78" t="str">
        <f>IF($AE33="オープン",(VLOOKUP($CO33,参照データ!$D$69:$J$86,5,0)),"")</f>
        <v/>
      </c>
      <c r="CW33" s="79" t="str">
        <f t="shared" si="7"/>
        <v/>
      </c>
      <c r="CX33" s="78" t="str">
        <f>IF($AG33="オープン",(VLOOKUP($CO33,参照データ!$D$69:$J$86,6,0)),"")</f>
        <v/>
      </c>
      <c r="CY33" s="79" t="str">
        <f t="shared" si="30"/>
        <v/>
      </c>
      <c r="CZ33" s="38" t="str">
        <f t="shared" si="31"/>
        <v/>
      </c>
      <c r="DA33" s="37" t="str">
        <f t="shared" si="32"/>
        <v/>
      </c>
      <c r="DB33" s="79" t="str">
        <f t="shared" si="33"/>
        <v/>
      </c>
      <c r="DC33" s="858"/>
      <c r="DD33" s="85" t="s">
        <v>107</v>
      </c>
      <c r="DE33" s="86" t="str">
        <f t="shared" si="34"/>
        <v/>
      </c>
      <c r="DF33" s="860"/>
      <c r="DG33" s="350" t="str">
        <f t="shared" ref="DG33" si="101">$DG32</f>
        <v/>
      </c>
      <c r="DH33" s="523">
        <f>IF(AND($BJ33&gt;=参照データ!$C$130,$BJ33&lt;=参照データ!$C$128),1,IF(AND($BJ33&gt;=参照データ!$C$133,$BJ33&lt;=参照データ!$C$131),2,IF(AND($BJ33&gt;=参照データ!$C$139,$BJ33&lt;=参照データ!$C$137),3,IF(AND($BJ33&gt;0,$BJ33&lt;=参照データ!$C$140),4,""))))</f>
        <v>1</v>
      </c>
      <c r="DI33" s="523">
        <f t="shared" si="35"/>
        <v>7</v>
      </c>
      <c r="DJ33" s="523" t="str">
        <f t="shared" si="36"/>
        <v/>
      </c>
      <c r="DK33" s="524" t="str">
        <f>IF($AN33="","",IF(AND($AN33="○",$BK33="男子"),VLOOKUP($DI33,参照データ!$D$128:$J$145,3,FALSE),VLOOKUP($DH33,参照データ!$D$128:$J$145,3,FALSE)))</f>
        <v/>
      </c>
      <c r="DL33" s="525" t="str">
        <f t="shared" si="37"/>
        <v/>
      </c>
      <c r="DM33" s="524" t="str">
        <f>IF($AP33="","",IF(AND($AP33="○",$BK33="男子"),VLOOKUP($DI33,参照データ!$D$128:$J$145,4,FALSE),VLOOKUP($DH33,参照データ!$D$128:$J$145,4,FALSE)))</f>
        <v/>
      </c>
      <c r="DN33" s="525" t="str">
        <f t="shared" si="38"/>
        <v/>
      </c>
      <c r="DO33" s="524" t="str">
        <f>IF($AR33="","",IF(AND($AR33="○",$BK33="男子"),VLOOKUP($DI33,参照データ!$D$128:$J$145,5,FALSE),VLOOKUP($DH33,参照データ!$D$128:$J$145,5,FALSE)))</f>
        <v/>
      </c>
      <c r="DP33" s="525" t="str">
        <f t="shared" si="39"/>
        <v/>
      </c>
      <c r="DQ33" s="524" t="str">
        <f>IF($AT33="","",IF(AND($AT33="○",$BK33="男子"),VLOOKUP($DI33,参照データ!$D$128:$J$145,6,FALSE),VLOOKUP($DH33,参照データ!$D$128:$J$145,6,FALSE)))</f>
        <v/>
      </c>
      <c r="DR33" s="525" t="str">
        <f t="shared" si="40"/>
        <v/>
      </c>
      <c r="DS33" s="526" t="str">
        <f t="shared" si="41"/>
        <v/>
      </c>
      <c r="DT33" s="527" t="str">
        <f t="shared" si="42"/>
        <v/>
      </c>
      <c r="DU33" s="528" t="str">
        <f t="shared" si="43"/>
        <v/>
      </c>
      <c r="DV33" s="983"/>
      <c r="DW33" s="531" t="s">
        <v>107</v>
      </c>
      <c r="DX33" s="532" t="str">
        <f t="shared" si="92"/>
        <v/>
      </c>
      <c r="DY33" s="994"/>
      <c r="DZ33" s="692" t="str">
        <f>$DZ32</f>
        <v/>
      </c>
      <c r="EA33" s="526" t="str">
        <f t="shared" si="85"/>
        <v/>
      </c>
      <c r="EB33" s="527" t="str">
        <f t="shared" si="86"/>
        <v/>
      </c>
      <c r="EC33" s="528" t="str">
        <f t="shared" si="87"/>
        <v/>
      </c>
      <c r="ED33" s="983"/>
      <c r="EE33" s="531" t="s">
        <v>107</v>
      </c>
      <c r="EF33" s="531" t="str">
        <f t="shared" si="88"/>
        <v/>
      </c>
      <c r="EG33" s="532" t="str">
        <f>IF(SUM(EF32:EF33)&lt;24,"",IF(SUM(EF32:EF33)&gt;=36,3,2))</f>
        <v/>
      </c>
      <c r="EH33" s="994"/>
      <c r="EI33" s="527" t="str">
        <f>$EI32</f>
        <v/>
      </c>
      <c r="EJ33" s="555" t="str">
        <f t="shared" si="13"/>
        <v/>
      </c>
      <c r="EK33" s="556" t="str">
        <f t="shared" si="44"/>
        <v/>
      </c>
      <c r="EL33" s="846"/>
      <c r="EM33" s="561" t="s">
        <v>785</v>
      </c>
      <c r="EN33" s="562" t="str">
        <f t="shared" si="45"/>
        <v/>
      </c>
      <c r="EO33" s="849"/>
      <c r="EP33" s="555" t="str">
        <f t="shared" si="14"/>
        <v/>
      </c>
      <c r="EQ33" s="556" t="str">
        <f t="shared" si="46"/>
        <v/>
      </c>
      <c r="ER33" s="846"/>
      <c r="ES33" s="561" t="s">
        <v>785</v>
      </c>
      <c r="ET33" s="562" t="str">
        <f t="shared" si="47"/>
        <v/>
      </c>
      <c r="EU33" s="849"/>
      <c r="EV33" s="38" t="str">
        <f t="shared" si="15"/>
        <v/>
      </c>
      <c r="EW33" s="552" t="str">
        <f t="shared" si="48"/>
        <v/>
      </c>
      <c r="EX33" s="833"/>
      <c r="EY33" s="559" t="s">
        <v>784</v>
      </c>
      <c r="EZ33" s="560" t="str">
        <f t="shared" si="49"/>
        <v/>
      </c>
      <c r="FA33" s="835"/>
      <c r="FB33" t="str">
        <f>IF($FC33="","",DATEDIF($BJ33,参照データ!$D$19,"Y"))</f>
        <v/>
      </c>
      <c r="FC33" s="298" t="str">
        <f>IFERROR(IF($BK33="男子",VLOOKUP($FJ33,参照データ!$D$92:$E$118,2,0),$FJ33),0)</f>
        <v/>
      </c>
      <c r="FD33" s="92" t="str">
        <f>IF($Y33="選手権",(VLOOKUP($FC33,参照データ!$D$92:$K$121,3,0)),"")</f>
        <v/>
      </c>
      <c r="FE33" s="93" t="str">
        <f t="shared" si="16"/>
        <v/>
      </c>
      <c r="FF33" s="92" t="str">
        <f>IF($AA33="選手権",(VLOOKUP($FC33,参照データ!$D$92:$K$121,4,0)),"")</f>
        <v/>
      </c>
      <c r="FG33" s="93" t="str">
        <f t="shared" si="17"/>
        <v/>
      </c>
      <c r="FH33" s="92" t="str">
        <f>IF($AC33="選手権",(VLOOKUP($FC33,参照データ!$D$92:$K$121,5,0)),"")</f>
        <v/>
      </c>
      <c r="FI33" s="93" t="str">
        <f t="shared" si="18"/>
        <v/>
      </c>
      <c r="FJ33" s="61" t="str">
        <f>IF(AND($BJ33&gt;=参照データ!$C$94,$BJ33&lt;=参照データ!$C$92),1,IF(AND($BJ33&gt;=参照データ!$C$97,$BJ33&lt;=参照データ!$C$95),2,IF(AND($BJ33&gt;=参照データ!$C$103,$BJ33&lt;=参照データ!$C$101),3,IF(AND($BJ33&gt;=参照データ!$C$109,$BJ33&lt;=参照データ!$C$107),4,IF(AND($BJ33&gt;=参照データ!$C$115,$BJ33&lt;=参照データ!$C$113),5,IF(AND($BJ33&gt;0,$BJ33&lt;=参照データ!$C$116),6,""))))))</f>
        <v/>
      </c>
      <c r="FK33" s="92" t="str">
        <f>IF($AE33="選手権",(VLOOKUP($FJ33,参照データ!$D$92:$K$121,6,0)),"")</f>
        <v/>
      </c>
      <c r="FL33" s="93" t="str">
        <f t="shared" si="19"/>
        <v/>
      </c>
      <c r="FM33" s="92" t="str">
        <f>IF($AG33="選手権",(VLOOKUP($FJ33,参照データ!$D$92:$K$121,7,0)),"")</f>
        <v/>
      </c>
      <c r="FN33" s="93" t="str">
        <f t="shared" si="50"/>
        <v/>
      </c>
      <c r="FO33" s="38" t="str">
        <f t="shared" si="51"/>
        <v/>
      </c>
      <c r="FP33" s="37" t="str">
        <f t="shared" si="52"/>
        <v/>
      </c>
      <c r="FQ33" s="93" t="str">
        <f t="shared" si="53"/>
        <v/>
      </c>
      <c r="FR33" s="976"/>
      <c r="FS33" s="99" t="s">
        <v>107</v>
      </c>
      <c r="FT33" s="100" t="str">
        <f t="shared" si="20"/>
        <v/>
      </c>
      <c r="FU33" s="978"/>
      <c r="FV33" s="356" t="str">
        <f t="shared" si="99"/>
        <v/>
      </c>
      <c r="FY33" s="40">
        <f>(COUNTIF($J33:$O33,"&lt;&gt;"))*参照データ!$E$3</f>
        <v>0</v>
      </c>
      <c r="FZ33" s="267" t="str">
        <f>IF($P33="○",参照データ!$E$4,"")</f>
        <v/>
      </c>
      <c r="GA33" s="19">
        <f>(SUM(COUNTIF($Q33:$U33,{"入門","初級"}))*参照データ!$E$9)+(SUM(COUNTIF($Q33:$U33,{"中級","上級"})*参照データ!$E$10))</f>
        <v>0</v>
      </c>
      <c r="GB33" s="19">
        <f>IFERROR(VLOOKUP($V33,参照データ!$D$9:$J$11,7,0),0)</f>
        <v>0</v>
      </c>
      <c r="GC33" s="19">
        <f>((COUNTIF($Y33:$AG33,"オープン"))*参照データ!$E$12)</f>
        <v>0</v>
      </c>
      <c r="GD33" s="19" t="str">
        <f>(IF($AI33="オープン",参照データ!$J$12,""))</f>
        <v/>
      </c>
      <c r="GE33" s="19">
        <f>(COUNTIF($AN33:$AU33,"○")*参照データ!$E$22)</f>
        <v>0</v>
      </c>
      <c r="GF33" s="19">
        <f>(COUNTIF($AV33:$BA33,"○")*参照データ!$I$22)</f>
        <v>0</v>
      </c>
      <c r="GI33" s="19">
        <f>((COUNTIF($Y33:$AG33,"選手権"))*参照データ!$E$13)</f>
        <v>0</v>
      </c>
      <c r="GJ33" s="19" t="str">
        <f>(IF($AI33="選手権",参照データ!$J$13,""))</f>
        <v/>
      </c>
      <c r="GK33" s="106">
        <f t="array" ref="GK33">SUM(IF(ISERROR(FY33:GJ33),0,(FY33:GJ33)))</f>
        <v>0</v>
      </c>
      <c r="GL33" s="19"/>
      <c r="GM33" s="19">
        <f t="shared" si="54"/>
        <v>0</v>
      </c>
      <c r="GN33" s="19">
        <f t="shared" si="55"/>
        <v>0</v>
      </c>
      <c r="GO33" s="19">
        <f t="shared" si="56"/>
        <v>0</v>
      </c>
      <c r="GP33" s="19">
        <f t="shared" si="21"/>
        <v>0</v>
      </c>
      <c r="GQ33" s="19">
        <f t="shared" si="57"/>
        <v>0</v>
      </c>
      <c r="GR33" s="19">
        <f t="shared" si="58"/>
        <v>0</v>
      </c>
      <c r="GS33" s="19">
        <f t="shared" si="59"/>
        <v>0</v>
      </c>
      <c r="GT33" s="19">
        <f t="shared" si="60"/>
        <v>0</v>
      </c>
      <c r="GU33" s="19">
        <f t="shared" si="61"/>
        <v>0</v>
      </c>
      <c r="GV33" t="str">
        <f t="shared" si="22"/>
        <v/>
      </c>
      <c r="GW33" t="str">
        <f t="shared" si="62"/>
        <v/>
      </c>
      <c r="GX33" t="str">
        <f t="shared" si="23"/>
        <v/>
      </c>
      <c r="GY33" t="str">
        <f t="shared" si="63"/>
        <v/>
      </c>
      <c r="GZ33" t="str">
        <f t="shared" si="24"/>
        <v/>
      </c>
    </row>
    <row r="34" spans="1:208" ht="18.75" customHeight="1" x14ac:dyDescent="0.15">
      <c r="A34">
        <v>23</v>
      </c>
      <c r="B34" s="15" t="str">
        <f>IF(D34="","",IF(D34="重複","",COUNTIF(B$12:$B33,"&gt;0")+1))</f>
        <v/>
      </c>
      <c r="C34" s="713"/>
      <c r="D34" s="185"/>
      <c r="E34" s="185"/>
      <c r="F34" s="36"/>
      <c r="G34" s="47"/>
      <c r="H34" s="402">
        <f t="shared" si="2"/>
        <v>0</v>
      </c>
      <c r="I34" s="201" t="str">
        <f>IF($BJ34=0,"",DATEDIF($BJ34,参照データ!$D$16,"Y"))</f>
        <v/>
      </c>
      <c r="J34" s="41"/>
      <c r="K34" s="41"/>
      <c r="L34" s="41"/>
      <c r="M34" s="41"/>
      <c r="N34" s="41"/>
      <c r="O34" s="49"/>
      <c r="P34" s="395"/>
      <c r="Q34" s="51"/>
      <c r="R34" s="289"/>
      <c r="S34" s="289"/>
      <c r="T34" s="289"/>
      <c r="U34" s="290"/>
      <c r="V34" s="293"/>
      <c r="W34" s="295"/>
      <c r="Y34" s="446"/>
      <c r="Z34" s="396" t="str">
        <f>IF($Y34="オープン",VLOOKUP($CO34,参照データ!$D$69:$M$86,9,0),IF($Y34="選手権",VLOOKUP($FC34,参照データ!$D$92:$O$121,10,0),""))</f>
        <v/>
      </c>
      <c r="AA34" s="446"/>
      <c r="AB34" s="666" t="str">
        <f>IF($AA34="オープン",VLOOKUP($CO34,参照データ!$D$69:$M$86,10,0),IF($AA34="選手権",VLOOKUP($FC34,参照データ!$D$92:$O$121,11,0),""))</f>
        <v/>
      </c>
      <c r="AC34" s="669"/>
      <c r="AD34" s="396" t="str">
        <f>IF($AC34="オープン",VLOOKUP($CO34,参照データ!$D$69:$M$86,10,0),IF($AC34="選手権",VLOOKUP($FC34,参照データ!$D$92:$O$121,11,0),""))</f>
        <v/>
      </c>
      <c r="AE34" s="446"/>
      <c r="AF34" s="396" t="str">
        <f>IF($AE34="オープン",VLOOKUP($CO34,参照データ!$D$69:$M$86,10,0),IF($AE34="選手権",VLOOKUP($FJ34,参照データ!$D$92:$O$121,12,0),""))</f>
        <v/>
      </c>
      <c r="AG34" s="446"/>
      <c r="AH34" s="396" t="str">
        <f>IF($AG34="オープン",VLOOKUP($CO34,参照データ!$D$69:$M$86,10,0),IF($AG34="選手権",VLOOKUP($FJ34,参照データ!$D$92:$O$121,12,0),""))</f>
        <v/>
      </c>
      <c r="AI34" s="446"/>
      <c r="AJ34" s="449"/>
      <c r="AK34" s="396" t="str">
        <f t="shared" si="3"/>
        <v/>
      </c>
      <c r="AL34" s="587"/>
      <c r="AM34" s="588" t="str">
        <f>IF($BJ34=0,"",DATEDIF($BJ34,参照データ!$D$17,"Y"))</f>
        <v/>
      </c>
      <c r="AN34" s="450"/>
      <c r="AO34" s="591" t="str">
        <f>IF(AN34="","",IF($BK34="男子",VLOOKUP($DI34,参照データ!$D$128:$M$145,10,FALSE),VLOOKUP($DH34,参照データ!$D$128:$M$145,10,FALSE)))</f>
        <v/>
      </c>
      <c r="AP34" s="450"/>
      <c r="AQ34" s="591" t="str">
        <f>IF(AP34="","",IF($BK34="男子",VLOOKUP($DI34,参照データ!$D$128:$M$145,10,FALSE),VLOOKUP($DH34,参照データ!$D$128:$M$145,10,FALSE)))</f>
        <v/>
      </c>
      <c r="AR34" s="450"/>
      <c r="AS34" s="591" t="str">
        <f>IF(AR34="","",IF($BK34="男子",VLOOKUP($DI34,参照データ!$D$128:$M$145,10,FALSE),VLOOKUP($DH34,参照データ!$D$128:$M$145,10,FALSE)))</f>
        <v/>
      </c>
      <c r="AT34" s="450"/>
      <c r="AU34" s="591" t="str">
        <f>IF(AT34="","",IF($BK34="男子",VLOOKUP($DI34,参照データ!$D$128:$M$145,10,FALSE),VLOOKUP($DH34,参照データ!$D$128:$M$145,10,FALSE)))</f>
        <v/>
      </c>
      <c r="AV34" s="448"/>
      <c r="AW34" s="448"/>
      <c r="AX34" s="585" t="str">
        <f t="shared" si="25"/>
        <v/>
      </c>
      <c r="AY34" s="448"/>
      <c r="AZ34" s="448"/>
      <c r="BA34" s="585" t="str">
        <f t="shared" si="83"/>
        <v/>
      </c>
      <c r="BB34" s="677"/>
      <c r="BC34" s="724"/>
      <c r="BD34" s="640"/>
      <c r="BE34" s="482"/>
      <c r="BF34" s="365"/>
      <c r="BG34" s="366"/>
      <c r="BJ34">
        <f t="shared" si="75"/>
        <v>0</v>
      </c>
      <c r="BK34" t="str">
        <f t="shared" si="65"/>
        <v/>
      </c>
      <c r="BL34" s="146"/>
      <c r="BO34" s="61" t="str">
        <f>IF($BJ34=0,"",IF(AND($I34&gt;=6,$I34&lt;=19),VLOOKUP($I34,参照データ!$B$28:$C$41,2,0),IF($I34&lt;6,6,19)))</f>
        <v/>
      </c>
      <c r="BP34" s="178" t="str">
        <f>IF($J34=$BI$12,VLOOKUP($BO34,参照データ!$C$28:$I$41,2,0),"")</f>
        <v/>
      </c>
      <c r="BQ34" s="169" t="str">
        <f>IF($K34=$BI$12,VLOOKUP($BO34,参照データ!$C$28:$I$41,3,0),"")</f>
        <v/>
      </c>
      <c r="BR34" s="169" t="str">
        <f>IF($L34=$BI$12,VLOOKUP($BO34,参照データ!$C$28:$I$41,4,0),"")</f>
        <v/>
      </c>
      <c r="BS34" s="169" t="str">
        <f>IF($M34=$BI$12,VLOOKUP($BO34,参照データ!$C$28:$I$41,5,0),"")</f>
        <v/>
      </c>
      <c r="BT34" s="169" t="str">
        <f>IF($N34=$BI$12,VLOOKUP($BO34,参照データ!$C$28:$I$41,6,0),"")</f>
        <v/>
      </c>
      <c r="BU34" s="179" t="str">
        <f>IF($O34=$BI$12,VLOOKUP($BO34,参照データ!$C$28:$I$41,7,0),"")</f>
        <v/>
      </c>
      <c r="BV34" s="178" t="str">
        <f>IF($J34=$BI$13,VLOOKUP($BO34,参照データ!$C$28:$I$41,2,0),"")</f>
        <v/>
      </c>
      <c r="BW34" s="169" t="str">
        <f>IF($K34=$BI$13,VLOOKUP($BO34,参照データ!$C$28:$I$41,3,0),"")</f>
        <v/>
      </c>
      <c r="BX34" s="169" t="str">
        <f>IF($L34=$BI$13,VLOOKUP($BO34,参照データ!$C$28:$I$41,4,0),"")</f>
        <v/>
      </c>
      <c r="BY34" s="169" t="str">
        <f>IF($M34=$BI$13,VLOOKUP($BO34,参照データ!$C$28:$I$41,5,0),"")</f>
        <v/>
      </c>
      <c r="BZ34" s="169" t="str">
        <f>IF($N34=$BI$13,VLOOKUP($BO34,参照データ!$C$28:$I$41,6,0),"")</f>
        <v/>
      </c>
      <c r="CA34" s="179" t="str">
        <f>IF($O34=$BI$13,VLOOKUP($BO34,参照データ!$C$28:$I$41,7,0),"")</f>
        <v/>
      </c>
      <c r="CB34" s="271" t="str">
        <f t="shared" si="26"/>
        <v/>
      </c>
      <c r="CC34" s="177" t="str">
        <f>IF($Q34="入門",VLOOKUP($BO34,参照データ!$C$47:$U$60,2,0),IF($Q34="初級",VLOOKUP($BO34,参照データ!$C$47:$U$60,3,0),IF($Q34="中級",VLOOKUP($BO34,参照データ!$C$47:$U$60,4,0),IF($Q34="上級",VLOOKUP($BO34,参照データ!$C$47:$U$60,5,0),""))))</f>
        <v/>
      </c>
      <c r="CD34" s="177" t="str">
        <f>IF($R34="初級",VLOOKUP($BO34,参照データ!$C$47:$U$60,6,0),IF($R34="中級",VLOOKUP($BO34,参照データ!$C$47:$U$60,7,0),IF($R34="上級",VLOOKUP($BO34,参照データ!$C$47:$U$60,8,0),"")))</f>
        <v/>
      </c>
      <c r="CE34" s="177" t="str">
        <f>IF($S34="初級",VLOOKUP($BO34,参照データ!$C$47:$U$60,9,0),IF($S34="上級",VLOOKUP($BO34,参照データ!$C$47:$U$60,10,0),""))</f>
        <v/>
      </c>
      <c r="CF34" s="177" t="str">
        <f>IF($T34="初級",VLOOKUP($BO34,参照データ!$C$47:$U$60,11,0),IF($T34="中級",VLOOKUP($BO34,参照データ!$C$47:$U$60,12,0),IF($T34="上級",VLOOKUP($BO34,参照データ!$C$47:$U$60,13,0),"")))</f>
        <v/>
      </c>
      <c r="CG34" s="177" t="str">
        <f>IF($U34="初級",VLOOKUP($BO34,参照データ!$C$47:$U$60,14,0),IF($U34="中級",VLOOKUP($BO34,参照データ!$C$47:$U$60,15,0),IF($U34="上級",VLOOKUP($BO34,参照データ!$C$47:$U$60,16,0),"")))</f>
        <v/>
      </c>
      <c r="CH34" s="55" t="str">
        <f t="shared" si="5"/>
        <v/>
      </c>
      <c r="CI34" s="55" t="str">
        <f>IF($V34="初級",VLOOKUP($BO34,参照データ!$C$47:$U$60,17,0),IF($V34="中級",VLOOKUP($BO34,参照データ!$C$47:$U$60,18,0),IF($V34="上級",VLOOKUP($BO34,参照データ!$C$47:$U$60,19,0),"")))</f>
        <v/>
      </c>
      <c r="CJ34" s="867">
        <v>12</v>
      </c>
      <c r="CK34" s="74" t="s">
        <v>258</v>
      </c>
      <c r="CL34" s="151" t="str">
        <f t="shared" si="6"/>
        <v/>
      </c>
      <c r="CM34" s="871" t="str">
        <f t="shared" ref="CM34" si="102">IF(OR($CL34="",$CL35=""),"",IF($CL34&gt;$CL35,$CL34,$CL35))</f>
        <v/>
      </c>
      <c r="CO34" s="61">
        <f>IF(AND($BJ34&gt;=参照データ!$C$71,$BJ34&lt;=参照データ!$C$69),1,IF(AND($BJ34&gt;=参照データ!$C$74,$BJ34&lt;=参照データ!$C$72),2,IF(AND($BJ34&gt;=参照データ!$C$77,$BJ34&lt;=参照データ!$C$75),3,IF(AND($BJ34&gt;=参照データ!$C$80,$BJ34&lt;=参照データ!$C$78),4,IF(AND($BJ34&gt;=参照データ!$C$83,$BJ34&lt;=参照データ!$C$81),5,IF(AND($BJ34&gt;0,$BJ34&lt;=参照データ!$C$84),6,""))))))</f>
        <v>5</v>
      </c>
      <c r="CP34" s="160" t="str">
        <f>IF($Y34="オープン",(VLOOKUP($CO34,参照データ!$D$69:$J$86,2,0)),"")</f>
        <v/>
      </c>
      <c r="CQ34" s="79" t="str">
        <f t="shared" si="27"/>
        <v/>
      </c>
      <c r="CR34" s="78" t="str">
        <f>IF($AA34="オープン",(VLOOKUP($CO34,参照データ!$D$69:$J$86,3,0)),"")</f>
        <v/>
      </c>
      <c r="CS34" s="79" t="str">
        <f t="shared" si="28"/>
        <v/>
      </c>
      <c r="CT34" s="78" t="str">
        <f>IF($AC34="オープン",(VLOOKUP($CO34,参照データ!$D$69:$J$86,4,0)),"")</f>
        <v/>
      </c>
      <c r="CU34" s="79" t="str">
        <f t="shared" si="29"/>
        <v/>
      </c>
      <c r="CV34" s="78" t="str">
        <f>IF($AE34="オープン",(VLOOKUP($CO34,参照データ!$D$69:$J$86,5,0)),"")</f>
        <v/>
      </c>
      <c r="CW34" s="79" t="str">
        <f t="shared" si="7"/>
        <v/>
      </c>
      <c r="CX34" s="78" t="str">
        <f>IF($AG34="オープン",(VLOOKUP($CO34,参照データ!$D$69:$J$86,6,0)),"")</f>
        <v/>
      </c>
      <c r="CY34" s="79" t="str">
        <f t="shared" si="30"/>
        <v/>
      </c>
      <c r="CZ34" s="38" t="str">
        <f t="shared" si="31"/>
        <v/>
      </c>
      <c r="DA34" s="37" t="str">
        <f t="shared" si="32"/>
        <v/>
      </c>
      <c r="DB34" s="79" t="str">
        <f t="shared" si="33"/>
        <v/>
      </c>
      <c r="DC34" s="857">
        <v>12</v>
      </c>
      <c r="DD34" s="87" t="s">
        <v>108</v>
      </c>
      <c r="DE34" s="88" t="str">
        <f t="shared" si="34"/>
        <v/>
      </c>
      <c r="DF34" s="859" t="e">
        <f>IF($DE34&gt;$DE35,VLOOKUP($DE34,参照データ!$D$69:$J$86,7,0),VLOOKUP($DE35,参照データ!$D$69:$J$86,7,0))</f>
        <v>#N/A</v>
      </c>
      <c r="DG34" s="350" t="str">
        <f>IFERROR(VLOOKUP($DF34,参照データ!$J$69:$M$86,4,0),"")</f>
        <v/>
      </c>
      <c r="DH34" s="523">
        <f>IF(AND($BJ34&gt;=参照データ!$C$130,$BJ34&lt;=参照データ!$C$128),1,IF(AND($BJ34&gt;=参照データ!$C$133,$BJ34&lt;=参照データ!$C$131),2,IF(AND($BJ34&gt;=参照データ!$C$139,$BJ34&lt;=参照データ!$C$137),3,IF(AND($BJ34&gt;0,$BJ34&lt;=参照データ!$C$140),4,""))))</f>
        <v>1</v>
      </c>
      <c r="DI34" s="523">
        <f t="shared" si="35"/>
        <v>7</v>
      </c>
      <c r="DJ34" s="523" t="str">
        <f t="shared" si="36"/>
        <v/>
      </c>
      <c r="DK34" s="524" t="str">
        <f>IF($AN34="","",IF(AND($AN34="○",$BK34="男子"),VLOOKUP($DI34,参照データ!$D$128:$J$145,3,FALSE),VLOOKUP($DH34,参照データ!$D$128:$J$145,3,FALSE)))</f>
        <v/>
      </c>
      <c r="DL34" s="525" t="str">
        <f t="shared" si="37"/>
        <v/>
      </c>
      <c r="DM34" s="524" t="str">
        <f>IF($AP34="","",IF(AND($AP34="○",$BK34="男子"),VLOOKUP($DI34,参照データ!$D$128:$J$145,4,FALSE),VLOOKUP($DH34,参照データ!$D$128:$J$145,4,FALSE)))</f>
        <v/>
      </c>
      <c r="DN34" s="525" t="str">
        <f t="shared" si="38"/>
        <v/>
      </c>
      <c r="DO34" s="524" t="str">
        <f>IF($AR34="","",IF(AND($AR34="○",$BK34="男子"),VLOOKUP($DI34,参照データ!$D$128:$J$145,5,FALSE),VLOOKUP($DH34,参照データ!$D$128:$J$145,5,FALSE)))</f>
        <v/>
      </c>
      <c r="DP34" s="525" t="str">
        <f t="shared" si="39"/>
        <v/>
      </c>
      <c r="DQ34" s="524" t="str">
        <f>IF($AT34="","",IF(AND($AT34="○",$BK34="男子"),VLOOKUP($DI34,参照データ!$D$128:$J$145,6,FALSE),VLOOKUP($DH34,参照データ!$D$128:$J$145,6,FALSE)))</f>
        <v/>
      </c>
      <c r="DR34" s="525" t="str">
        <f t="shared" si="40"/>
        <v/>
      </c>
      <c r="DS34" s="526" t="str">
        <f t="shared" si="41"/>
        <v/>
      </c>
      <c r="DT34" s="527" t="str">
        <f t="shared" si="42"/>
        <v/>
      </c>
      <c r="DU34" s="528" t="str">
        <f t="shared" si="43"/>
        <v/>
      </c>
      <c r="DV34" s="982">
        <v>12</v>
      </c>
      <c r="DW34" s="533" t="s">
        <v>108</v>
      </c>
      <c r="DX34" s="534" t="str">
        <f t="shared" si="92"/>
        <v/>
      </c>
      <c r="DY34" s="877" t="e">
        <f>IF($DX34&gt;$DX35,VLOOKUP($DX34,参照データ!$D$128:$K$145,7,0),VLOOKUP($DX35,参照データ!$D$128:$K$145,7,0))</f>
        <v>#N/A</v>
      </c>
      <c r="DZ34" s="692" t="str">
        <f>IFERROR(VLOOKUP($DY34,参照データ!$J$128:$N$145,5,0),"")</f>
        <v/>
      </c>
      <c r="EA34" s="526" t="str">
        <f t="shared" si="85"/>
        <v/>
      </c>
      <c r="EB34" s="527" t="str">
        <f t="shared" si="86"/>
        <v/>
      </c>
      <c r="EC34" s="528" t="str">
        <f t="shared" si="87"/>
        <v/>
      </c>
      <c r="ED34" s="982">
        <v>12</v>
      </c>
      <c r="EE34" s="533" t="s">
        <v>108</v>
      </c>
      <c r="EF34" s="533" t="str">
        <f t="shared" si="88"/>
        <v/>
      </c>
      <c r="EG34" s="534" t="str">
        <f>IF(SUM(EF34:EF35)&lt;24,"",IF(SUM(EF34:EF35)&gt;=36,3,2))</f>
        <v/>
      </c>
      <c r="EH34" s="877" t="e">
        <f>IF($EG34&gt;$EG35,VLOOKUP($EG34,参照データ!$D$128:$K$145,8,0),VLOOKUP($EG35,参照データ!$D$128:$K$145,8,0))</f>
        <v>#N/A</v>
      </c>
      <c r="EI34" s="527" t="str">
        <f>IFERROR(VLOOKUP($EH34,参照データ!$K$128:$N$145,4,0),"")</f>
        <v/>
      </c>
      <c r="EJ34" s="555" t="str">
        <f t="shared" si="13"/>
        <v/>
      </c>
      <c r="EK34" s="556" t="str">
        <f t="shared" si="44"/>
        <v/>
      </c>
      <c r="EL34" s="846"/>
      <c r="EM34" s="561" t="s">
        <v>787</v>
      </c>
      <c r="EN34" s="562" t="str">
        <f t="shared" si="45"/>
        <v/>
      </c>
      <c r="EO34" s="849"/>
      <c r="EP34" s="555" t="str">
        <f t="shared" si="14"/>
        <v/>
      </c>
      <c r="EQ34" s="556" t="str">
        <f t="shared" si="46"/>
        <v/>
      </c>
      <c r="ER34" s="846"/>
      <c r="ES34" s="561" t="s">
        <v>787</v>
      </c>
      <c r="ET34" s="562" t="str">
        <f t="shared" si="47"/>
        <v/>
      </c>
      <c r="EU34" s="849"/>
      <c r="EV34" s="38" t="str">
        <f t="shared" si="15"/>
        <v/>
      </c>
      <c r="EW34" s="552" t="str">
        <f t="shared" si="48"/>
        <v/>
      </c>
      <c r="EX34" s="833"/>
      <c r="EY34" s="559" t="s">
        <v>786</v>
      </c>
      <c r="EZ34" s="560" t="str">
        <f t="shared" si="49"/>
        <v/>
      </c>
      <c r="FA34" s="835"/>
      <c r="FB34" t="str">
        <f>IF($FC34="","",DATEDIF($BJ34,参照データ!$D$19,"Y"))</f>
        <v/>
      </c>
      <c r="FC34" s="298" t="str">
        <f>IFERROR(IF($BK34="男子",VLOOKUP($FJ34,参照データ!$D$92:$E$118,2,0),$FJ34),0)</f>
        <v/>
      </c>
      <c r="FD34" s="92" t="str">
        <f>IF($Y34="選手権",(VLOOKUP($FC34,参照データ!$D$92:$K$121,3,0)),"")</f>
        <v/>
      </c>
      <c r="FE34" s="93" t="str">
        <f t="shared" si="16"/>
        <v/>
      </c>
      <c r="FF34" s="92" t="str">
        <f>IF($AA34="選手権",(VLOOKUP($FC34,参照データ!$D$92:$K$121,4,0)),"")</f>
        <v/>
      </c>
      <c r="FG34" s="93" t="str">
        <f t="shared" si="17"/>
        <v/>
      </c>
      <c r="FH34" s="92" t="str">
        <f>IF($AC34="選手権",(VLOOKUP($FC34,参照データ!$D$92:$K$121,5,0)),"")</f>
        <v/>
      </c>
      <c r="FI34" s="93" t="str">
        <f t="shared" si="18"/>
        <v/>
      </c>
      <c r="FJ34" s="61" t="str">
        <f>IF(AND($BJ34&gt;=参照データ!$C$94,$BJ34&lt;=参照データ!$C$92),1,IF(AND($BJ34&gt;=参照データ!$C$97,$BJ34&lt;=参照データ!$C$95),2,IF(AND($BJ34&gt;=参照データ!$C$103,$BJ34&lt;=参照データ!$C$101),3,IF(AND($BJ34&gt;=参照データ!$C$109,$BJ34&lt;=参照データ!$C$107),4,IF(AND($BJ34&gt;=参照データ!$C$115,$BJ34&lt;=参照データ!$C$113),5,IF(AND($BJ34&gt;0,$BJ34&lt;=参照データ!$C$116),6,""))))))</f>
        <v/>
      </c>
      <c r="FK34" s="92" t="str">
        <f>IF($AE34="選手権",(VLOOKUP($FJ34,参照データ!$D$92:$K$121,6,0)),"")</f>
        <v/>
      </c>
      <c r="FL34" s="93" t="str">
        <f t="shared" si="19"/>
        <v/>
      </c>
      <c r="FM34" s="92" t="str">
        <f>IF($AG34="選手権",(VLOOKUP($FJ34,参照データ!$D$92:$K$121,7,0)),"")</f>
        <v/>
      </c>
      <c r="FN34" s="93" t="str">
        <f t="shared" si="50"/>
        <v/>
      </c>
      <c r="FO34" s="38" t="str">
        <f t="shared" si="51"/>
        <v/>
      </c>
      <c r="FP34" s="37" t="str">
        <f t="shared" si="52"/>
        <v/>
      </c>
      <c r="FQ34" s="93" t="str">
        <f t="shared" si="53"/>
        <v/>
      </c>
      <c r="FR34" s="979">
        <v>12</v>
      </c>
      <c r="FS34" s="101" t="s">
        <v>108</v>
      </c>
      <c r="FT34" s="102" t="str">
        <f t="shared" si="20"/>
        <v/>
      </c>
      <c r="FU34" s="980" t="e">
        <f>IF($FT34&gt;$FT35,VLOOKUP($FT34,参照データ!$D$92:$K$121,8,0),VLOOKUP($FT35,参照データ!$D$92:$K$121,8,0))</f>
        <v>#N/A</v>
      </c>
      <c r="FV34" s="356" t="str">
        <f>IFERROR(VLOOKUP($FU34,参照データ!$K$92:$O$121,5,0),"")</f>
        <v/>
      </c>
      <c r="FY34" s="40">
        <f>(COUNTIF($J34:$O34,"&lt;&gt;"))*参照データ!$E$3</f>
        <v>0</v>
      </c>
      <c r="FZ34" s="267" t="str">
        <f>IF($P34="○",参照データ!$E$4,"")</f>
        <v/>
      </c>
      <c r="GA34" s="19">
        <f>(SUM(COUNTIF($Q34:$U34,{"入門","初級"}))*参照データ!$E$9)+(SUM(COUNTIF($Q34:$U34,{"中級","上級"})*参照データ!$E$10))</f>
        <v>0</v>
      </c>
      <c r="GB34" s="19">
        <f>IFERROR(VLOOKUP($V34,参照データ!$D$9:$J$11,7,0),0)</f>
        <v>0</v>
      </c>
      <c r="GC34" s="19">
        <f>((COUNTIF($Y34:$AG34,"オープン"))*参照データ!$E$12)</f>
        <v>0</v>
      </c>
      <c r="GD34" s="19" t="str">
        <f>(IF($AI34="オープン",参照データ!$J$12,""))</f>
        <v/>
      </c>
      <c r="GE34" s="19">
        <f>(COUNTIF($AN34:$AU34,"○")*参照データ!$E$22)</f>
        <v>0</v>
      </c>
      <c r="GF34" s="19">
        <f>(COUNTIF($AV34:$BA34,"○")*参照データ!$I$22)</f>
        <v>0</v>
      </c>
      <c r="GI34" s="19">
        <f>((COUNTIF($Y34:$AG34,"選手権"))*参照データ!$E$13)</f>
        <v>0</v>
      </c>
      <c r="GJ34" s="19" t="str">
        <f>(IF($AI34="選手権",参照データ!$J$13,""))</f>
        <v/>
      </c>
      <c r="GK34" s="106">
        <f t="array" ref="GK34">SUM(IF(ISERROR(FY34:GJ34),0,(FY34:GJ34)))</f>
        <v>0</v>
      </c>
      <c r="GL34" s="19"/>
      <c r="GM34" s="19">
        <f t="shared" si="54"/>
        <v>0</v>
      </c>
      <c r="GN34" s="19">
        <f t="shared" si="55"/>
        <v>0</v>
      </c>
      <c r="GO34" s="19">
        <f t="shared" si="56"/>
        <v>0</v>
      </c>
      <c r="GP34" s="19">
        <f t="shared" si="21"/>
        <v>0</v>
      </c>
      <c r="GQ34" s="19">
        <f t="shared" si="57"/>
        <v>0</v>
      </c>
      <c r="GR34" s="19">
        <f t="shared" si="58"/>
        <v>0</v>
      </c>
      <c r="GS34" s="19">
        <f t="shared" si="59"/>
        <v>0</v>
      </c>
      <c r="GT34" s="19">
        <f t="shared" si="60"/>
        <v>0</v>
      </c>
      <c r="GU34" s="19">
        <f t="shared" si="61"/>
        <v>0</v>
      </c>
      <c r="GV34" t="str">
        <f t="shared" si="22"/>
        <v/>
      </c>
      <c r="GW34" t="str">
        <f t="shared" si="62"/>
        <v/>
      </c>
      <c r="GX34" t="str">
        <f t="shared" si="23"/>
        <v/>
      </c>
      <c r="GY34" t="str">
        <f t="shared" si="63"/>
        <v/>
      </c>
      <c r="GZ34" t="str">
        <f t="shared" si="24"/>
        <v/>
      </c>
    </row>
    <row r="35" spans="1:208" ht="18.75" customHeight="1" x14ac:dyDescent="0.15">
      <c r="A35">
        <v>24</v>
      </c>
      <c r="B35" s="15" t="str">
        <f>IF(D35="","",IF(D35="重複","",COUNTIF(B$12:$B34,"&gt;0")+1))</f>
        <v/>
      </c>
      <c r="C35" s="713"/>
      <c r="D35" s="185"/>
      <c r="E35" s="185"/>
      <c r="F35" s="36"/>
      <c r="G35" s="47"/>
      <c r="H35" s="402">
        <f t="shared" si="2"/>
        <v>0</v>
      </c>
      <c r="I35" s="201" t="str">
        <f>IF($BJ35=0,"",DATEDIF($BJ35,参照データ!$D$16,"Y"))</f>
        <v/>
      </c>
      <c r="J35" s="41"/>
      <c r="K35" s="41"/>
      <c r="L35" s="41"/>
      <c r="M35" s="41"/>
      <c r="N35" s="41"/>
      <c r="O35" s="49"/>
      <c r="P35" s="395"/>
      <c r="Q35" s="51"/>
      <c r="R35" s="289"/>
      <c r="S35" s="289"/>
      <c r="T35" s="289"/>
      <c r="U35" s="290"/>
      <c r="V35" s="293"/>
      <c r="W35" s="295"/>
      <c r="Y35" s="446"/>
      <c r="Z35" s="396" t="str">
        <f>IF($Y35="オープン",VLOOKUP($CO35,参照データ!$D$69:$M$86,9,0),IF($Y35="選手権",VLOOKUP($FC35,参照データ!$D$92:$O$121,10,0),""))</f>
        <v/>
      </c>
      <c r="AA35" s="446"/>
      <c r="AB35" s="666" t="str">
        <f>IF($AA35="オープン",VLOOKUP($CO35,参照データ!$D$69:$M$86,10,0),IF($AA35="選手権",VLOOKUP($FC35,参照データ!$D$92:$O$121,11,0),""))</f>
        <v/>
      </c>
      <c r="AC35" s="669"/>
      <c r="AD35" s="396" t="str">
        <f>IF($AC35="オープン",VLOOKUP($CO35,参照データ!$D$69:$M$86,10,0),IF($AC35="選手権",VLOOKUP($FC35,参照データ!$D$92:$O$121,11,0),""))</f>
        <v/>
      </c>
      <c r="AE35" s="446"/>
      <c r="AF35" s="396" t="str">
        <f>IF($AE35="オープン",VLOOKUP($CO35,参照データ!$D$69:$M$86,10,0),IF($AE35="選手権",VLOOKUP($FJ35,参照データ!$D$92:$O$121,12,0),""))</f>
        <v/>
      </c>
      <c r="AG35" s="446"/>
      <c r="AH35" s="396" t="str">
        <f>IF($AG35="オープン",VLOOKUP($CO35,参照データ!$D$69:$M$86,10,0),IF($AG35="選手権",VLOOKUP($FJ35,参照データ!$D$92:$O$121,12,0),""))</f>
        <v/>
      </c>
      <c r="AI35" s="446"/>
      <c r="AJ35" s="449"/>
      <c r="AK35" s="396" t="str">
        <f t="shared" si="3"/>
        <v/>
      </c>
      <c r="AL35" s="587"/>
      <c r="AM35" s="588" t="str">
        <f>IF($BJ35=0,"",DATEDIF($BJ35,参照データ!$D$17,"Y"))</f>
        <v/>
      </c>
      <c r="AN35" s="450"/>
      <c r="AO35" s="591" t="str">
        <f>IF(AN35="","",IF($BK35="男子",VLOOKUP($DI35,参照データ!$D$128:$M$145,10,FALSE),VLOOKUP($DH35,参照データ!$D$128:$M$145,10,FALSE)))</f>
        <v/>
      </c>
      <c r="AP35" s="450"/>
      <c r="AQ35" s="591" t="str">
        <f>IF(AP35="","",IF($BK35="男子",VLOOKUP($DI35,参照データ!$D$128:$M$145,10,FALSE),VLOOKUP($DH35,参照データ!$D$128:$M$145,10,FALSE)))</f>
        <v/>
      </c>
      <c r="AR35" s="450"/>
      <c r="AS35" s="591" t="str">
        <f>IF(AR35="","",IF($BK35="男子",VLOOKUP($DI35,参照データ!$D$128:$M$145,10,FALSE),VLOOKUP($DH35,参照データ!$D$128:$M$145,10,FALSE)))</f>
        <v/>
      </c>
      <c r="AT35" s="450"/>
      <c r="AU35" s="591" t="str">
        <f>IF(AT35="","",IF($BK35="男子",VLOOKUP($DI35,参照データ!$D$128:$M$145,10,FALSE),VLOOKUP($DH35,参照データ!$D$128:$M$145,10,FALSE)))</f>
        <v/>
      </c>
      <c r="AV35" s="448"/>
      <c r="AW35" s="448"/>
      <c r="AX35" s="585" t="str">
        <f t="shared" si="25"/>
        <v/>
      </c>
      <c r="AY35" s="448"/>
      <c r="AZ35" s="448"/>
      <c r="BA35" s="585" t="str">
        <f t="shared" si="83"/>
        <v/>
      </c>
      <c r="BB35" s="677"/>
      <c r="BC35" s="724"/>
      <c r="BD35" s="640"/>
      <c r="BE35" s="482"/>
      <c r="BF35" s="365"/>
      <c r="BG35" s="366"/>
      <c r="BJ35">
        <f t="shared" si="75"/>
        <v>0</v>
      </c>
      <c r="BK35" t="str">
        <f t="shared" si="65"/>
        <v/>
      </c>
      <c r="BL35" s="146"/>
      <c r="BO35" s="61" t="str">
        <f>IF($BJ35=0,"",IF(AND($I35&gt;=6,$I35&lt;=19),VLOOKUP($I35,参照データ!$B$28:$C$41,2,0),IF($I35&lt;6,6,19)))</f>
        <v/>
      </c>
      <c r="BP35" s="178" t="str">
        <f>IF($J35=$BI$12,VLOOKUP($BO35,参照データ!$C$28:$I$41,2,0),"")</f>
        <v/>
      </c>
      <c r="BQ35" s="169" t="str">
        <f>IF($K35=$BI$12,VLOOKUP($BO35,参照データ!$C$28:$I$41,3,0),"")</f>
        <v/>
      </c>
      <c r="BR35" s="169" t="str">
        <f>IF($L35=$BI$12,VLOOKUP($BO35,参照データ!$C$28:$I$41,4,0),"")</f>
        <v/>
      </c>
      <c r="BS35" s="169" t="str">
        <f>IF($M35=$BI$12,VLOOKUP($BO35,参照データ!$C$28:$I$41,5,0),"")</f>
        <v/>
      </c>
      <c r="BT35" s="169" t="str">
        <f>IF($N35=$BI$12,VLOOKUP($BO35,参照データ!$C$28:$I$41,6,0),"")</f>
        <v/>
      </c>
      <c r="BU35" s="179" t="str">
        <f>IF($O35=$BI$12,VLOOKUP($BO35,参照データ!$C$28:$I$41,7,0),"")</f>
        <v/>
      </c>
      <c r="BV35" s="178" t="str">
        <f>IF($J35=$BI$13,VLOOKUP($BO35,参照データ!$C$28:$I$41,2,0),"")</f>
        <v/>
      </c>
      <c r="BW35" s="169" t="str">
        <f>IF($K35=$BI$13,VLOOKUP($BO35,参照データ!$C$28:$I$41,3,0),"")</f>
        <v/>
      </c>
      <c r="BX35" s="169" t="str">
        <f>IF($L35=$BI$13,VLOOKUP($BO35,参照データ!$C$28:$I$41,4,0),"")</f>
        <v/>
      </c>
      <c r="BY35" s="169" t="str">
        <f>IF($M35=$BI$13,VLOOKUP($BO35,参照データ!$C$28:$I$41,5,0),"")</f>
        <v/>
      </c>
      <c r="BZ35" s="169" t="str">
        <f>IF($N35=$BI$13,VLOOKUP($BO35,参照データ!$C$28:$I$41,6,0),"")</f>
        <v/>
      </c>
      <c r="CA35" s="179" t="str">
        <f>IF($O35=$BI$13,VLOOKUP($BO35,参照データ!$C$28:$I$41,7,0),"")</f>
        <v/>
      </c>
      <c r="CB35" s="271" t="str">
        <f t="shared" si="26"/>
        <v/>
      </c>
      <c r="CC35" s="177" t="str">
        <f>IF($Q35="入門",VLOOKUP($BO35,参照データ!$C$47:$U$60,2,0),IF($Q35="初級",VLOOKUP($BO35,参照データ!$C$47:$U$60,3,0),IF($Q35="中級",VLOOKUP($BO35,参照データ!$C$47:$U$60,4,0),IF($Q35="上級",VLOOKUP($BO35,参照データ!$C$47:$U$60,5,0),""))))</f>
        <v/>
      </c>
      <c r="CD35" s="177" t="str">
        <f>IF($R35="初級",VLOOKUP($BO35,参照データ!$C$47:$U$60,6,0),IF($R35="中級",VLOOKUP($BO35,参照データ!$C$47:$U$60,7,0),IF($R35="上級",VLOOKUP($BO35,参照データ!$C$47:$U$60,8,0),"")))</f>
        <v/>
      </c>
      <c r="CE35" s="177" t="str">
        <f>IF($S35="初級",VLOOKUP($BO35,参照データ!$C$47:$U$60,9,0),IF($S35="上級",VLOOKUP($BO35,参照データ!$C$47:$U$60,10,0),""))</f>
        <v/>
      </c>
      <c r="CF35" s="177" t="str">
        <f>IF($T35="初級",VLOOKUP($BO35,参照データ!$C$47:$U$60,11,0),IF($T35="中級",VLOOKUP($BO35,参照データ!$C$47:$U$60,12,0),IF($T35="上級",VLOOKUP($BO35,参照データ!$C$47:$U$60,13,0),"")))</f>
        <v/>
      </c>
      <c r="CG35" s="177" t="str">
        <f>IF($U35="初級",VLOOKUP($BO35,参照データ!$C$47:$U$60,14,0),IF($U35="中級",VLOOKUP($BO35,参照データ!$C$47:$U$60,15,0),IF($U35="上級",VLOOKUP($BO35,参照データ!$C$47:$U$60,16,0),"")))</f>
        <v/>
      </c>
      <c r="CH35" s="55" t="str">
        <f t="shared" si="5"/>
        <v/>
      </c>
      <c r="CI35" s="55" t="str">
        <f>IF($V35="初級",VLOOKUP($BO35,参照データ!$C$47:$U$60,17,0),IF($V35="中級",VLOOKUP($BO35,参照データ!$C$47:$U$60,18,0),IF($V35="上級",VLOOKUP($BO35,参照データ!$C$47:$U$60,19,0),"")))</f>
        <v/>
      </c>
      <c r="CJ35" s="868"/>
      <c r="CK35" s="73" t="s">
        <v>259</v>
      </c>
      <c r="CL35" s="150" t="str">
        <f t="shared" si="6"/>
        <v/>
      </c>
      <c r="CM35" s="872"/>
      <c r="CO35" s="61">
        <f>IF(AND($BJ35&gt;=参照データ!$C$71,$BJ35&lt;=参照データ!$C$69),1,IF(AND($BJ35&gt;=参照データ!$C$74,$BJ35&lt;=参照データ!$C$72),2,IF(AND($BJ35&gt;=参照データ!$C$77,$BJ35&lt;=参照データ!$C$75),3,IF(AND($BJ35&gt;=参照データ!$C$80,$BJ35&lt;=参照データ!$C$78),4,IF(AND($BJ35&gt;=参照データ!$C$83,$BJ35&lt;=参照データ!$C$81),5,IF(AND($BJ35&gt;0,$BJ35&lt;=参照データ!$C$84),6,""))))))</f>
        <v>5</v>
      </c>
      <c r="CP35" s="160" t="str">
        <f>IF($Y35="オープン",(VLOOKUP($CO35,参照データ!$D$69:$J$86,2,0)),"")</f>
        <v/>
      </c>
      <c r="CQ35" s="79" t="str">
        <f t="shared" si="27"/>
        <v/>
      </c>
      <c r="CR35" s="78" t="str">
        <f>IF($AA35="オープン",(VLOOKUP($CO35,参照データ!$D$69:$J$86,3,0)),"")</f>
        <v/>
      </c>
      <c r="CS35" s="79" t="str">
        <f t="shared" si="28"/>
        <v/>
      </c>
      <c r="CT35" s="78" t="str">
        <f>IF($AC35="オープン",(VLOOKUP($CO35,参照データ!$D$69:$J$86,4,0)),"")</f>
        <v/>
      </c>
      <c r="CU35" s="79" t="str">
        <f t="shared" si="29"/>
        <v/>
      </c>
      <c r="CV35" s="78" t="str">
        <f>IF($AE35="オープン",(VLOOKUP($CO35,参照データ!$D$69:$J$86,5,0)),"")</f>
        <v/>
      </c>
      <c r="CW35" s="79" t="str">
        <f t="shared" si="7"/>
        <v/>
      </c>
      <c r="CX35" s="78" t="str">
        <f>IF($AG35="オープン",(VLOOKUP($CO35,参照データ!$D$69:$J$86,6,0)),"")</f>
        <v/>
      </c>
      <c r="CY35" s="79" t="str">
        <f t="shared" si="30"/>
        <v/>
      </c>
      <c r="CZ35" s="38" t="str">
        <f t="shared" si="31"/>
        <v/>
      </c>
      <c r="DA35" s="37" t="str">
        <f t="shared" si="32"/>
        <v/>
      </c>
      <c r="DB35" s="79" t="str">
        <f t="shared" si="33"/>
        <v/>
      </c>
      <c r="DC35" s="858"/>
      <c r="DD35" s="85" t="s">
        <v>109</v>
      </c>
      <c r="DE35" s="86" t="str">
        <f t="shared" si="34"/>
        <v/>
      </c>
      <c r="DF35" s="860"/>
      <c r="DG35" s="350" t="str">
        <f t="shared" ref="DG35" si="103">$DG34</f>
        <v/>
      </c>
      <c r="DH35" s="523">
        <f>IF(AND($BJ35&gt;=参照データ!$C$130,$BJ35&lt;=参照データ!$C$128),1,IF(AND($BJ35&gt;=参照データ!$C$133,$BJ35&lt;=参照データ!$C$131),2,IF(AND($BJ35&gt;=参照データ!$C$139,$BJ35&lt;=参照データ!$C$137),3,IF(AND($BJ35&gt;0,$BJ35&lt;=参照データ!$C$140),4,""))))</f>
        <v>1</v>
      </c>
      <c r="DI35" s="523">
        <f t="shared" si="35"/>
        <v>7</v>
      </c>
      <c r="DJ35" s="523" t="str">
        <f t="shared" si="36"/>
        <v/>
      </c>
      <c r="DK35" s="524" t="str">
        <f>IF($AN35="","",IF(AND($AN35="○",$BK35="男子"),VLOOKUP($DI35,参照データ!$D$128:$J$145,3,FALSE),VLOOKUP($DH35,参照データ!$D$128:$J$145,3,FALSE)))</f>
        <v/>
      </c>
      <c r="DL35" s="525" t="str">
        <f t="shared" si="37"/>
        <v/>
      </c>
      <c r="DM35" s="524" t="str">
        <f>IF($AP35="","",IF(AND($AP35="○",$BK35="男子"),VLOOKUP($DI35,参照データ!$D$128:$J$145,4,FALSE),VLOOKUP($DH35,参照データ!$D$128:$J$145,4,FALSE)))</f>
        <v/>
      </c>
      <c r="DN35" s="525" t="str">
        <f t="shared" si="38"/>
        <v/>
      </c>
      <c r="DO35" s="524" t="str">
        <f>IF($AR35="","",IF(AND($AR35="○",$BK35="男子"),VLOOKUP($DI35,参照データ!$D$128:$J$145,5,FALSE),VLOOKUP($DH35,参照データ!$D$128:$J$145,5,FALSE)))</f>
        <v/>
      </c>
      <c r="DP35" s="525" t="str">
        <f t="shared" si="39"/>
        <v/>
      </c>
      <c r="DQ35" s="524" t="str">
        <f>IF($AT35="","",IF(AND($AT35="○",$BK35="男子"),VLOOKUP($DI35,参照データ!$D$128:$J$145,6,FALSE),VLOOKUP($DH35,参照データ!$D$128:$J$145,6,FALSE)))</f>
        <v/>
      </c>
      <c r="DR35" s="525" t="str">
        <f t="shared" si="40"/>
        <v/>
      </c>
      <c r="DS35" s="526" t="str">
        <f t="shared" si="41"/>
        <v/>
      </c>
      <c r="DT35" s="527" t="str">
        <f t="shared" si="42"/>
        <v/>
      </c>
      <c r="DU35" s="528" t="str">
        <f t="shared" si="43"/>
        <v/>
      </c>
      <c r="DV35" s="983"/>
      <c r="DW35" s="531" t="s">
        <v>109</v>
      </c>
      <c r="DX35" s="532" t="str">
        <f t="shared" si="92"/>
        <v/>
      </c>
      <c r="DY35" s="994"/>
      <c r="DZ35" s="692" t="str">
        <f>$DZ34</f>
        <v/>
      </c>
      <c r="EA35" s="526" t="str">
        <f t="shared" si="85"/>
        <v/>
      </c>
      <c r="EB35" s="527" t="str">
        <f t="shared" si="86"/>
        <v/>
      </c>
      <c r="EC35" s="528" t="str">
        <f t="shared" si="87"/>
        <v/>
      </c>
      <c r="ED35" s="983"/>
      <c r="EE35" s="531" t="s">
        <v>109</v>
      </c>
      <c r="EF35" s="531" t="str">
        <f t="shared" si="88"/>
        <v/>
      </c>
      <c r="EG35" s="532" t="str">
        <f>IF(SUM(EF34:EF35)&lt;24,"",IF(SUM(EF34:EF35)&gt;=36,3,2))</f>
        <v/>
      </c>
      <c r="EH35" s="994"/>
      <c r="EI35" s="527" t="str">
        <f>$EI34</f>
        <v/>
      </c>
      <c r="EJ35" s="555" t="str">
        <f t="shared" si="13"/>
        <v/>
      </c>
      <c r="EK35" s="556" t="str">
        <f t="shared" si="44"/>
        <v/>
      </c>
      <c r="EL35" s="846"/>
      <c r="EM35" s="561" t="s">
        <v>789</v>
      </c>
      <c r="EN35" s="562" t="str">
        <f t="shared" si="45"/>
        <v/>
      </c>
      <c r="EO35" s="849"/>
      <c r="EP35" s="555" t="str">
        <f t="shared" si="14"/>
        <v/>
      </c>
      <c r="EQ35" s="556" t="str">
        <f t="shared" si="46"/>
        <v/>
      </c>
      <c r="ER35" s="846"/>
      <c r="ES35" s="561" t="s">
        <v>789</v>
      </c>
      <c r="ET35" s="562" t="str">
        <f t="shared" si="47"/>
        <v/>
      </c>
      <c r="EU35" s="849"/>
      <c r="EV35" s="38" t="str">
        <f t="shared" si="15"/>
        <v/>
      </c>
      <c r="EW35" s="552" t="str">
        <f t="shared" si="48"/>
        <v/>
      </c>
      <c r="EX35" s="833"/>
      <c r="EY35" s="559" t="s">
        <v>788</v>
      </c>
      <c r="EZ35" s="560" t="str">
        <f t="shared" si="49"/>
        <v/>
      </c>
      <c r="FA35" s="835"/>
      <c r="FB35" t="str">
        <f>IF($FC35="","",DATEDIF($BJ35,参照データ!$D$19,"Y"))</f>
        <v/>
      </c>
      <c r="FC35" s="298" t="str">
        <f>IFERROR(IF($BK35="男子",VLOOKUP($FJ35,参照データ!$D$92:$E$118,2,0),$FJ35),0)</f>
        <v/>
      </c>
      <c r="FD35" s="92" t="str">
        <f>IF($Y35="選手権",(VLOOKUP($FC35,参照データ!$D$92:$K$121,3,0)),"")</f>
        <v/>
      </c>
      <c r="FE35" s="93" t="str">
        <f t="shared" si="16"/>
        <v/>
      </c>
      <c r="FF35" s="92" t="str">
        <f>IF($AA35="選手権",(VLOOKUP($FC35,参照データ!$D$92:$K$121,4,0)),"")</f>
        <v/>
      </c>
      <c r="FG35" s="93" t="str">
        <f t="shared" si="17"/>
        <v/>
      </c>
      <c r="FH35" s="92" t="str">
        <f>IF($AC35="選手権",(VLOOKUP($FC35,参照データ!$D$92:$K$121,5,0)),"")</f>
        <v/>
      </c>
      <c r="FI35" s="93" t="str">
        <f t="shared" si="18"/>
        <v/>
      </c>
      <c r="FJ35" s="61" t="str">
        <f>IF(AND($BJ35&gt;=参照データ!$C$94,$BJ35&lt;=参照データ!$C$92),1,IF(AND($BJ35&gt;=参照データ!$C$97,$BJ35&lt;=参照データ!$C$95),2,IF(AND($BJ35&gt;=参照データ!$C$103,$BJ35&lt;=参照データ!$C$101),3,IF(AND($BJ35&gt;=参照データ!$C$109,$BJ35&lt;=参照データ!$C$107),4,IF(AND($BJ35&gt;=参照データ!$C$115,$BJ35&lt;=参照データ!$C$113),5,IF(AND($BJ35&gt;0,$BJ35&lt;=参照データ!$C$116),6,""))))))</f>
        <v/>
      </c>
      <c r="FK35" s="92" t="str">
        <f>IF($AE35="選手権",(VLOOKUP($FJ35,参照データ!$D$92:$K$121,6,0)),"")</f>
        <v/>
      </c>
      <c r="FL35" s="93" t="str">
        <f t="shared" si="19"/>
        <v/>
      </c>
      <c r="FM35" s="92" t="str">
        <f>IF($AG35="選手権",(VLOOKUP($FJ35,参照データ!$D$92:$K$121,7,0)),"")</f>
        <v/>
      </c>
      <c r="FN35" s="93" t="str">
        <f t="shared" si="50"/>
        <v/>
      </c>
      <c r="FO35" s="38" t="str">
        <f t="shared" si="51"/>
        <v/>
      </c>
      <c r="FP35" s="37" t="str">
        <f t="shared" si="52"/>
        <v/>
      </c>
      <c r="FQ35" s="93" t="str">
        <f t="shared" si="53"/>
        <v/>
      </c>
      <c r="FR35" s="976"/>
      <c r="FS35" s="99" t="s">
        <v>109</v>
      </c>
      <c r="FT35" s="100" t="str">
        <f t="shared" si="20"/>
        <v/>
      </c>
      <c r="FU35" s="978"/>
      <c r="FV35" s="356" t="str">
        <f t="shared" si="99"/>
        <v/>
      </c>
      <c r="FY35" s="40">
        <f>(COUNTIF($J35:$O35,"&lt;&gt;"))*参照データ!$E$3</f>
        <v>0</v>
      </c>
      <c r="FZ35" s="267" t="str">
        <f>IF($P35="○",参照データ!$E$4,"")</f>
        <v/>
      </c>
      <c r="GA35" s="19">
        <f>(SUM(COUNTIF($Q35:$U35,{"入門","初級"}))*参照データ!$E$9)+(SUM(COUNTIF($Q35:$U35,{"中級","上級"})*参照データ!$E$10))</f>
        <v>0</v>
      </c>
      <c r="GB35" s="19">
        <f>IFERROR(VLOOKUP($V35,参照データ!$D$9:$J$11,7,0),0)</f>
        <v>0</v>
      </c>
      <c r="GC35" s="19">
        <f>((COUNTIF($Y35:$AG35,"オープン"))*参照データ!$E$12)</f>
        <v>0</v>
      </c>
      <c r="GD35" s="19" t="str">
        <f>(IF($AI35="オープン",参照データ!$J$12,""))</f>
        <v/>
      </c>
      <c r="GE35" s="19">
        <f>(COUNTIF($AN35:$AU35,"○")*参照データ!$E$22)</f>
        <v>0</v>
      </c>
      <c r="GF35" s="19">
        <f>(COUNTIF($AV35:$BA35,"○")*参照データ!$I$22)</f>
        <v>0</v>
      </c>
      <c r="GI35" s="19">
        <f>((COUNTIF($Y35:$AG35,"選手権"))*参照データ!$E$13)</f>
        <v>0</v>
      </c>
      <c r="GJ35" s="19" t="str">
        <f>(IF($AI35="選手権",参照データ!$J$13,""))</f>
        <v/>
      </c>
      <c r="GK35" s="106">
        <f t="array" ref="GK35">SUM(IF(ISERROR(FY35:GJ35),0,(FY35:GJ35)))</f>
        <v>0</v>
      </c>
      <c r="GL35" s="19"/>
      <c r="GM35" s="19">
        <f t="shared" si="54"/>
        <v>0</v>
      </c>
      <c r="GN35" s="19">
        <f t="shared" si="55"/>
        <v>0</v>
      </c>
      <c r="GO35" s="19">
        <f t="shared" si="56"/>
        <v>0</v>
      </c>
      <c r="GP35" s="19">
        <f t="shared" si="21"/>
        <v>0</v>
      </c>
      <c r="GQ35" s="19">
        <f t="shared" si="57"/>
        <v>0</v>
      </c>
      <c r="GR35" s="19">
        <f t="shared" si="58"/>
        <v>0</v>
      </c>
      <c r="GS35" s="19">
        <f t="shared" si="59"/>
        <v>0</v>
      </c>
      <c r="GT35" s="19">
        <f t="shared" si="60"/>
        <v>0</v>
      </c>
      <c r="GU35" s="19">
        <f t="shared" si="61"/>
        <v>0</v>
      </c>
      <c r="GV35" t="str">
        <f t="shared" si="22"/>
        <v/>
      </c>
      <c r="GW35" t="str">
        <f t="shared" si="62"/>
        <v/>
      </c>
      <c r="GX35" t="str">
        <f t="shared" si="23"/>
        <v/>
      </c>
      <c r="GY35" t="str">
        <f t="shared" si="63"/>
        <v/>
      </c>
      <c r="GZ35" t="str">
        <f t="shared" si="24"/>
        <v/>
      </c>
    </row>
    <row r="36" spans="1:208" ht="18.75" customHeight="1" x14ac:dyDescent="0.15">
      <c r="A36">
        <v>25</v>
      </c>
      <c r="B36" s="15" t="str">
        <f>IF(D36="","",IF(D36="重複","",COUNTIF(B$12:$B35,"&gt;0")+1))</f>
        <v/>
      </c>
      <c r="C36" s="713"/>
      <c r="D36" s="185"/>
      <c r="E36" s="185"/>
      <c r="F36" s="36"/>
      <c r="G36" s="47"/>
      <c r="H36" s="402">
        <f t="shared" si="2"/>
        <v>0</v>
      </c>
      <c r="I36" s="201" t="str">
        <f>IF($BJ36=0,"",DATEDIF($BJ36,参照データ!$D$16,"Y"))</f>
        <v/>
      </c>
      <c r="J36" s="41"/>
      <c r="K36" s="41"/>
      <c r="L36" s="41"/>
      <c r="M36" s="41"/>
      <c r="N36" s="41"/>
      <c r="O36" s="49"/>
      <c r="P36" s="395"/>
      <c r="Q36" s="51"/>
      <c r="R36" s="289"/>
      <c r="S36" s="289"/>
      <c r="T36" s="289"/>
      <c r="U36" s="290"/>
      <c r="V36" s="293"/>
      <c r="W36" s="295"/>
      <c r="Y36" s="446"/>
      <c r="Z36" s="396" t="str">
        <f>IF($Y36="オープン",VLOOKUP($CO36,参照データ!$D$69:$M$86,9,0),IF($Y36="選手権",VLOOKUP($FC36,参照データ!$D$92:$O$121,10,0),""))</f>
        <v/>
      </c>
      <c r="AA36" s="446"/>
      <c r="AB36" s="666" t="str">
        <f>IF($AA36="オープン",VLOOKUP($CO36,参照データ!$D$69:$M$86,10,0),IF($AA36="選手権",VLOOKUP($FC36,参照データ!$D$92:$O$121,11,0),""))</f>
        <v/>
      </c>
      <c r="AC36" s="669"/>
      <c r="AD36" s="396" t="str">
        <f>IF($AC36="オープン",VLOOKUP($CO36,参照データ!$D$69:$M$86,10,0),IF($AC36="選手権",VLOOKUP($FC36,参照データ!$D$92:$O$121,11,0),""))</f>
        <v/>
      </c>
      <c r="AE36" s="446"/>
      <c r="AF36" s="396" t="str">
        <f>IF($AE36="オープン",VLOOKUP($CO36,参照データ!$D$69:$M$86,10,0),IF($AE36="選手権",VLOOKUP($FJ36,参照データ!$D$92:$O$121,12,0),""))</f>
        <v/>
      </c>
      <c r="AG36" s="446"/>
      <c r="AH36" s="396" t="str">
        <f>IF($AG36="オープン",VLOOKUP($CO36,参照データ!$D$69:$M$86,10,0),IF($AG36="選手権",VLOOKUP($FJ36,参照データ!$D$92:$O$121,12,0),""))</f>
        <v/>
      </c>
      <c r="AI36" s="446"/>
      <c r="AJ36" s="449"/>
      <c r="AK36" s="396" t="str">
        <f t="shared" si="3"/>
        <v/>
      </c>
      <c r="AL36" s="587"/>
      <c r="AM36" s="588" t="str">
        <f>IF($BJ36=0,"",DATEDIF($BJ36,参照データ!$D$17,"Y"))</f>
        <v/>
      </c>
      <c r="AN36" s="450"/>
      <c r="AO36" s="591" t="str">
        <f>IF(AN36="","",IF($BK36="男子",VLOOKUP($DI36,参照データ!$D$128:$M$145,10,FALSE),VLOOKUP($DH36,参照データ!$D$128:$M$145,10,FALSE)))</f>
        <v/>
      </c>
      <c r="AP36" s="450"/>
      <c r="AQ36" s="591" t="str">
        <f>IF(AP36="","",IF($BK36="男子",VLOOKUP($DI36,参照データ!$D$128:$M$145,10,FALSE),VLOOKUP($DH36,参照データ!$D$128:$M$145,10,FALSE)))</f>
        <v/>
      </c>
      <c r="AR36" s="450"/>
      <c r="AS36" s="591" t="str">
        <f>IF(AR36="","",IF($BK36="男子",VLOOKUP($DI36,参照データ!$D$128:$M$145,10,FALSE),VLOOKUP($DH36,参照データ!$D$128:$M$145,10,FALSE)))</f>
        <v/>
      </c>
      <c r="AT36" s="450"/>
      <c r="AU36" s="591" t="str">
        <f>IF(AT36="","",IF($BK36="男子",VLOOKUP($DI36,参照データ!$D$128:$M$145,10,FALSE),VLOOKUP($DH36,参照データ!$D$128:$M$145,10,FALSE)))</f>
        <v/>
      </c>
      <c r="AV36" s="448"/>
      <c r="AW36" s="448"/>
      <c r="AX36" s="585" t="str">
        <f t="shared" si="25"/>
        <v/>
      </c>
      <c r="AY36" s="448"/>
      <c r="AZ36" s="448"/>
      <c r="BA36" s="585" t="str">
        <f t="shared" si="83"/>
        <v/>
      </c>
      <c r="BB36" s="677"/>
      <c r="BC36" s="724"/>
      <c r="BD36" s="640"/>
      <c r="BE36" s="482"/>
      <c r="BF36" s="365"/>
      <c r="BG36" s="366"/>
      <c r="BJ36">
        <f t="shared" si="75"/>
        <v>0</v>
      </c>
      <c r="BK36" t="str">
        <f t="shared" si="65"/>
        <v/>
      </c>
      <c r="BL36" s="146"/>
      <c r="BO36" s="61" t="str">
        <f>IF($BJ36=0,"",IF(AND($I36&gt;=6,$I36&lt;=19),VLOOKUP($I36,参照データ!$B$28:$C$41,2,0),IF($I36&lt;6,6,19)))</f>
        <v/>
      </c>
      <c r="BP36" s="178" t="str">
        <f>IF($J36=$BI$12,VLOOKUP($BO36,参照データ!$C$28:$I$41,2,0),"")</f>
        <v/>
      </c>
      <c r="BQ36" s="169" t="str">
        <f>IF($K36=$BI$12,VLOOKUP($BO36,参照データ!$C$28:$I$41,3,0),"")</f>
        <v/>
      </c>
      <c r="BR36" s="169" t="str">
        <f>IF($L36=$BI$12,VLOOKUP($BO36,参照データ!$C$28:$I$41,4,0),"")</f>
        <v/>
      </c>
      <c r="BS36" s="169" t="str">
        <f>IF($M36=$BI$12,VLOOKUP($BO36,参照データ!$C$28:$I$41,5,0),"")</f>
        <v/>
      </c>
      <c r="BT36" s="169" t="str">
        <f>IF($N36=$BI$12,VLOOKUP($BO36,参照データ!$C$28:$I$41,6,0),"")</f>
        <v/>
      </c>
      <c r="BU36" s="179" t="str">
        <f>IF($O36=$BI$12,VLOOKUP($BO36,参照データ!$C$28:$I$41,7,0),"")</f>
        <v/>
      </c>
      <c r="BV36" s="178" t="str">
        <f>IF($J36=$BI$13,VLOOKUP($BO36,参照データ!$C$28:$I$41,2,0),"")</f>
        <v/>
      </c>
      <c r="BW36" s="169" t="str">
        <f>IF($K36=$BI$13,VLOOKUP($BO36,参照データ!$C$28:$I$41,3,0),"")</f>
        <v/>
      </c>
      <c r="BX36" s="169" t="str">
        <f>IF($L36=$BI$13,VLOOKUP($BO36,参照データ!$C$28:$I$41,4,0),"")</f>
        <v/>
      </c>
      <c r="BY36" s="169" t="str">
        <f>IF($M36=$BI$13,VLOOKUP($BO36,参照データ!$C$28:$I$41,5,0),"")</f>
        <v/>
      </c>
      <c r="BZ36" s="169" t="str">
        <f>IF($N36=$BI$13,VLOOKUP($BO36,参照データ!$C$28:$I$41,6,0),"")</f>
        <v/>
      </c>
      <c r="CA36" s="179" t="str">
        <f>IF($O36=$BI$13,VLOOKUP($BO36,参照データ!$C$28:$I$41,7,0),"")</f>
        <v/>
      </c>
      <c r="CB36" s="271" t="str">
        <f t="shared" si="26"/>
        <v/>
      </c>
      <c r="CC36" s="177" t="str">
        <f>IF($Q36="入門",VLOOKUP($BO36,参照データ!$C$47:$U$60,2,0),IF($Q36="初級",VLOOKUP($BO36,参照データ!$C$47:$U$60,3,0),IF($Q36="中級",VLOOKUP($BO36,参照データ!$C$47:$U$60,4,0),IF($Q36="上級",VLOOKUP($BO36,参照データ!$C$47:$U$60,5,0),""))))</f>
        <v/>
      </c>
      <c r="CD36" s="177" t="str">
        <f>IF($R36="初級",VLOOKUP($BO36,参照データ!$C$47:$U$60,6,0),IF($R36="中級",VLOOKUP($BO36,参照データ!$C$47:$U$60,7,0),IF($R36="上級",VLOOKUP($BO36,参照データ!$C$47:$U$60,8,0),"")))</f>
        <v/>
      </c>
      <c r="CE36" s="177" t="str">
        <f>IF($S36="初級",VLOOKUP($BO36,参照データ!$C$47:$U$60,9,0),IF($S36="上級",VLOOKUP($BO36,参照データ!$C$47:$U$60,10,0),""))</f>
        <v/>
      </c>
      <c r="CF36" s="177" t="str">
        <f>IF($T36="初級",VLOOKUP($BO36,参照データ!$C$47:$U$60,11,0),IF($T36="中級",VLOOKUP($BO36,参照データ!$C$47:$U$60,12,0),IF($T36="上級",VLOOKUP($BO36,参照データ!$C$47:$U$60,13,0),"")))</f>
        <v/>
      </c>
      <c r="CG36" s="177" t="str">
        <f>IF($U36="初級",VLOOKUP($BO36,参照データ!$C$47:$U$60,14,0),IF($U36="中級",VLOOKUP($BO36,参照データ!$C$47:$U$60,15,0),IF($U36="上級",VLOOKUP($BO36,参照データ!$C$47:$U$60,16,0),"")))</f>
        <v/>
      </c>
      <c r="CH36" s="55" t="str">
        <f t="shared" si="5"/>
        <v/>
      </c>
      <c r="CI36" s="55" t="str">
        <f>IF($V36="初級",VLOOKUP($BO36,参照データ!$C$47:$U$60,17,0),IF($V36="中級",VLOOKUP($BO36,参照データ!$C$47:$U$60,18,0),IF($V36="上級",VLOOKUP($BO36,参照データ!$C$47:$U$60,19,0),"")))</f>
        <v/>
      </c>
      <c r="CJ36" s="867">
        <v>13</v>
      </c>
      <c r="CK36" s="74" t="s">
        <v>260</v>
      </c>
      <c r="CL36" s="151" t="str">
        <f t="shared" si="6"/>
        <v/>
      </c>
      <c r="CM36" s="871" t="str">
        <f t="shared" ref="CM36" si="104">IF(OR($CL36="",$CL37=""),"",IF($CL36&gt;$CL37,$CL36,$CL37))</f>
        <v/>
      </c>
      <c r="CO36" s="61">
        <f>IF(AND($BJ36&gt;=参照データ!$C$71,$BJ36&lt;=参照データ!$C$69),1,IF(AND($BJ36&gt;=参照データ!$C$74,$BJ36&lt;=参照データ!$C$72),2,IF(AND($BJ36&gt;=参照データ!$C$77,$BJ36&lt;=参照データ!$C$75),3,IF(AND($BJ36&gt;=参照データ!$C$80,$BJ36&lt;=参照データ!$C$78),4,IF(AND($BJ36&gt;=参照データ!$C$83,$BJ36&lt;=参照データ!$C$81),5,IF(AND($BJ36&gt;0,$BJ36&lt;=参照データ!$C$84),6,""))))))</f>
        <v>5</v>
      </c>
      <c r="CP36" s="160" t="str">
        <f>IF($Y36="オープン",(VLOOKUP($CO36,参照データ!$D$69:$J$86,2,0)),"")</f>
        <v/>
      </c>
      <c r="CQ36" s="79" t="str">
        <f t="shared" si="27"/>
        <v/>
      </c>
      <c r="CR36" s="78" t="str">
        <f>IF($AA36="オープン",(VLOOKUP($CO36,参照データ!$D$69:$J$86,3,0)),"")</f>
        <v/>
      </c>
      <c r="CS36" s="79" t="str">
        <f t="shared" si="28"/>
        <v/>
      </c>
      <c r="CT36" s="78" t="str">
        <f>IF($AC36="オープン",(VLOOKUP($CO36,参照データ!$D$69:$J$86,4,0)),"")</f>
        <v/>
      </c>
      <c r="CU36" s="79" t="str">
        <f t="shared" si="29"/>
        <v/>
      </c>
      <c r="CV36" s="78" t="str">
        <f>IF($AE36="オープン",(VLOOKUP($CO36,参照データ!$D$69:$J$86,5,0)),"")</f>
        <v/>
      </c>
      <c r="CW36" s="79" t="str">
        <f t="shared" si="7"/>
        <v/>
      </c>
      <c r="CX36" s="78" t="str">
        <f>IF($AG36="オープン",(VLOOKUP($CO36,参照データ!$D$69:$J$86,6,0)),"")</f>
        <v/>
      </c>
      <c r="CY36" s="79" t="str">
        <f t="shared" si="30"/>
        <v/>
      </c>
      <c r="CZ36" s="38" t="str">
        <f t="shared" si="31"/>
        <v/>
      </c>
      <c r="DA36" s="37" t="str">
        <f t="shared" si="32"/>
        <v/>
      </c>
      <c r="DB36" s="79" t="str">
        <f t="shared" si="33"/>
        <v/>
      </c>
      <c r="DC36" s="857">
        <v>13</v>
      </c>
      <c r="DD36" s="87" t="s">
        <v>110</v>
      </c>
      <c r="DE36" s="88" t="str">
        <f t="shared" si="34"/>
        <v/>
      </c>
      <c r="DF36" s="859" t="e">
        <f>IF($DE36&gt;$DE37,VLOOKUP($DE36,参照データ!$D$69:$J$86,7,0),VLOOKUP($DE37,参照データ!$D$69:$J$86,7,0))</f>
        <v>#N/A</v>
      </c>
      <c r="DG36" s="350" t="str">
        <f>IFERROR(VLOOKUP($DF36,参照データ!$J$69:$M$86,4,0),"")</f>
        <v/>
      </c>
      <c r="DH36" s="523">
        <f>IF(AND($BJ36&gt;=参照データ!$C$130,$BJ36&lt;=参照データ!$C$128),1,IF(AND($BJ36&gt;=参照データ!$C$133,$BJ36&lt;=参照データ!$C$131),2,IF(AND($BJ36&gt;=参照データ!$C$139,$BJ36&lt;=参照データ!$C$137),3,IF(AND($BJ36&gt;0,$BJ36&lt;=参照データ!$C$140),4,""))))</f>
        <v>1</v>
      </c>
      <c r="DI36" s="523">
        <f t="shared" si="35"/>
        <v>7</v>
      </c>
      <c r="DJ36" s="523" t="str">
        <f t="shared" si="36"/>
        <v/>
      </c>
      <c r="DK36" s="524" t="str">
        <f>IF($AN36="","",IF(AND($AN36="○",$BK36="男子"),VLOOKUP($DI36,参照データ!$D$128:$J$145,3,FALSE),VLOOKUP($DH36,参照データ!$D$128:$J$145,3,FALSE)))</f>
        <v/>
      </c>
      <c r="DL36" s="525" t="str">
        <f t="shared" si="37"/>
        <v/>
      </c>
      <c r="DM36" s="524" t="str">
        <f>IF($AP36="","",IF(AND($AP36="○",$BK36="男子"),VLOOKUP($DI36,参照データ!$D$128:$J$145,4,FALSE),VLOOKUP($DH36,参照データ!$D$128:$J$145,4,FALSE)))</f>
        <v/>
      </c>
      <c r="DN36" s="525" t="str">
        <f t="shared" si="38"/>
        <v/>
      </c>
      <c r="DO36" s="524" t="str">
        <f>IF($AR36="","",IF(AND($AR36="○",$BK36="男子"),VLOOKUP($DI36,参照データ!$D$128:$J$145,5,FALSE),VLOOKUP($DH36,参照データ!$D$128:$J$145,5,FALSE)))</f>
        <v/>
      </c>
      <c r="DP36" s="525" t="str">
        <f t="shared" si="39"/>
        <v/>
      </c>
      <c r="DQ36" s="524" t="str">
        <f>IF($AT36="","",IF(AND($AT36="○",$BK36="男子"),VLOOKUP($DI36,参照データ!$D$128:$J$145,6,FALSE),VLOOKUP($DH36,参照データ!$D$128:$J$145,6,FALSE)))</f>
        <v/>
      </c>
      <c r="DR36" s="525" t="str">
        <f t="shared" si="40"/>
        <v/>
      </c>
      <c r="DS36" s="526" t="str">
        <f t="shared" si="41"/>
        <v/>
      </c>
      <c r="DT36" s="527" t="str">
        <f t="shared" si="42"/>
        <v/>
      </c>
      <c r="DU36" s="528" t="str">
        <f t="shared" si="43"/>
        <v/>
      </c>
      <c r="DV36" s="982">
        <v>13</v>
      </c>
      <c r="DW36" s="533" t="s">
        <v>110</v>
      </c>
      <c r="DX36" s="534" t="str">
        <f t="shared" si="92"/>
        <v/>
      </c>
      <c r="DY36" s="877" t="e">
        <f>IF($DX36&gt;$DX37,VLOOKUP($DX36,参照データ!$D$128:$K$145,7,0),VLOOKUP($DX37,参照データ!$D$128:$K$145,7,0))</f>
        <v>#N/A</v>
      </c>
      <c r="DZ36" s="692" t="str">
        <f>IFERROR(VLOOKUP($DY36,参照データ!$J$128:$N$145,5,0),"")</f>
        <v/>
      </c>
      <c r="EA36" s="526" t="str">
        <f t="shared" si="85"/>
        <v/>
      </c>
      <c r="EB36" s="527" t="str">
        <f t="shared" si="86"/>
        <v/>
      </c>
      <c r="EC36" s="528" t="str">
        <f t="shared" si="87"/>
        <v/>
      </c>
      <c r="ED36" s="982">
        <v>13</v>
      </c>
      <c r="EE36" s="533" t="s">
        <v>110</v>
      </c>
      <c r="EF36" s="533" t="str">
        <f t="shared" si="88"/>
        <v/>
      </c>
      <c r="EG36" s="534" t="str">
        <f>IF(SUM(EF36:EF37)&lt;24,"",IF(SUM(EF36:EF37)&gt;=36,3,2))</f>
        <v/>
      </c>
      <c r="EH36" s="877" t="e">
        <f>IF($EG36&gt;$EG37,VLOOKUP($EG36,参照データ!$D$128:$K$145,8,0),VLOOKUP($EG37,参照データ!$D$128:$K$145,8,0))</f>
        <v>#N/A</v>
      </c>
      <c r="EI36" s="527" t="str">
        <f>IFERROR(VLOOKUP($EH36,参照データ!$K$128:$N$145,4,0),"")</f>
        <v/>
      </c>
      <c r="EJ36" s="555" t="str">
        <f t="shared" si="13"/>
        <v/>
      </c>
      <c r="EK36" s="556" t="str">
        <f t="shared" si="44"/>
        <v/>
      </c>
      <c r="EL36" s="846"/>
      <c r="EM36" s="561" t="s">
        <v>791</v>
      </c>
      <c r="EN36" s="562" t="str">
        <f t="shared" si="45"/>
        <v/>
      </c>
      <c r="EO36" s="849"/>
      <c r="EP36" s="555" t="str">
        <f t="shared" si="14"/>
        <v/>
      </c>
      <c r="EQ36" s="556" t="str">
        <f t="shared" si="46"/>
        <v/>
      </c>
      <c r="ER36" s="846"/>
      <c r="ES36" s="561" t="s">
        <v>791</v>
      </c>
      <c r="ET36" s="562" t="str">
        <f t="shared" si="47"/>
        <v/>
      </c>
      <c r="EU36" s="849"/>
      <c r="EV36" s="38" t="str">
        <f t="shared" si="15"/>
        <v/>
      </c>
      <c r="EW36" s="552" t="str">
        <f t="shared" si="48"/>
        <v/>
      </c>
      <c r="EX36" s="833"/>
      <c r="EY36" s="559" t="s">
        <v>790</v>
      </c>
      <c r="EZ36" s="560" t="str">
        <f t="shared" si="49"/>
        <v/>
      </c>
      <c r="FA36" s="835"/>
      <c r="FB36" t="str">
        <f>IF($FC36="","",DATEDIF($BJ36,参照データ!$D$19,"Y"))</f>
        <v/>
      </c>
      <c r="FC36" s="298" t="str">
        <f>IFERROR(IF($BK36="男子",VLOOKUP($FJ36,参照データ!$D$92:$E$118,2,0),$FJ36),0)</f>
        <v/>
      </c>
      <c r="FD36" s="92" t="str">
        <f>IF($Y36="選手権",(VLOOKUP($FC36,参照データ!$D$92:$K$121,3,0)),"")</f>
        <v/>
      </c>
      <c r="FE36" s="93" t="str">
        <f t="shared" si="16"/>
        <v/>
      </c>
      <c r="FF36" s="92" t="str">
        <f>IF($AA36="選手権",(VLOOKUP($FC36,参照データ!$D$92:$K$121,4,0)),"")</f>
        <v/>
      </c>
      <c r="FG36" s="93" t="str">
        <f t="shared" si="17"/>
        <v/>
      </c>
      <c r="FH36" s="92" t="str">
        <f>IF($AC36="選手権",(VLOOKUP($FC36,参照データ!$D$92:$K$121,5,0)),"")</f>
        <v/>
      </c>
      <c r="FI36" s="93" t="str">
        <f t="shared" si="18"/>
        <v/>
      </c>
      <c r="FJ36" s="61" t="str">
        <f>IF(AND($BJ36&gt;=参照データ!$C$94,$BJ36&lt;=参照データ!$C$92),1,IF(AND($BJ36&gt;=参照データ!$C$97,$BJ36&lt;=参照データ!$C$95),2,IF(AND($BJ36&gt;=参照データ!$C$103,$BJ36&lt;=参照データ!$C$101),3,IF(AND($BJ36&gt;=参照データ!$C$109,$BJ36&lt;=参照データ!$C$107),4,IF(AND($BJ36&gt;=参照データ!$C$115,$BJ36&lt;=参照データ!$C$113),5,IF(AND($BJ36&gt;0,$BJ36&lt;=参照データ!$C$116),6,""))))))</f>
        <v/>
      </c>
      <c r="FK36" s="92" t="str">
        <f>IF($AE36="選手権",(VLOOKUP($FJ36,参照データ!$D$92:$K$121,6,0)),"")</f>
        <v/>
      </c>
      <c r="FL36" s="93" t="str">
        <f t="shared" si="19"/>
        <v/>
      </c>
      <c r="FM36" s="92" t="str">
        <f>IF($AG36="選手権",(VLOOKUP($FJ36,参照データ!$D$92:$K$121,7,0)),"")</f>
        <v/>
      </c>
      <c r="FN36" s="93" t="str">
        <f t="shared" si="50"/>
        <v/>
      </c>
      <c r="FO36" s="38" t="str">
        <f t="shared" si="51"/>
        <v/>
      </c>
      <c r="FP36" s="37" t="str">
        <f t="shared" si="52"/>
        <v/>
      </c>
      <c r="FQ36" s="93" t="str">
        <f t="shared" si="53"/>
        <v/>
      </c>
      <c r="FR36" s="979">
        <v>13</v>
      </c>
      <c r="FS36" s="101" t="s">
        <v>110</v>
      </c>
      <c r="FT36" s="102" t="str">
        <f t="shared" si="20"/>
        <v/>
      </c>
      <c r="FU36" s="980" t="e">
        <f>IF($FT36&gt;$FT37,VLOOKUP($FT36,参照データ!$D$92:$K$121,8,0),VLOOKUP($FT37,参照データ!$D$92:$K$121,8,0))</f>
        <v>#N/A</v>
      </c>
      <c r="FV36" s="356" t="str">
        <f>IFERROR(VLOOKUP($FU36,参照データ!$K$92:$O$121,5,0),"")</f>
        <v/>
      </c>
      <c r="FY36" s="40">
        <f>(COUNTIF($J36:$O36,"&lt;&gt;"))*参照データ!$E$3</f>
        <v>0</v>
      </c>
      <c r="FZ36" s="267" t="str">
        <f>IF($P36="○",参照データ!$E$4,"")</f>
        <v/>
      </c>
      <c r="GA36" s="19">
        <f>(SUM(COUNTIF($Q36:$U36,{"入門","初級"}))*参照データ!$E$9)+(SUM(COUNTIF($Q36:$U36,{"中級","上級"})*参照データ!$E$10))</f>
        <v>0</v>
      </c>
      <c r="GB36" s="19">
        <f>IFERROR(VLOOKUP($V36,参照データ!$D$9:$J$11,7,0),0)</f>
        <v>0</v>
      </c>
      <c r="GC36" s="19">
        <f>((COUNTIF($Y36:$AG36,"オープン"))*参照データ!$E$12)</f>
        <v>0</v>
      </c>
      <c r="GD36" s="19" t="str">
        <f>(IF($AI36="オープン",参照データ!$J$12,""))</f>
        <v/>
      </c>
      <c r="GE36" s="19">
        <f>(COUNTIF($AN36:$AU36,"○")*参照データ!$E$22)</f>
        <v>0</v>
      </c>
      <c r="GF36" s="19">
        <f>(COUNTIF($AV36:$BA36,"○")*参照データ!$I$22)</f>
        <v>0</v>
      </c>
      <c r="GI36" s="19">
        <f>((COUNTIF($Y36:$AG36,"選手権"))*参照データ!$E$13)</f>
        <v>0</v>
      </c>
      <c r="GJ36" s="19" t="str">
        <f>(IF($AI36="選手権",参照データ!$J$13,""))</f>
        <v/>
      </c>
      <c r="GK36" s="106">
        <f t="array" ref="GK36">SUM(IF(ISERROR(FY36:GJ36),0,(FY36:GJ36)))</f>
        <v>0</v>
      </c>
      <c r="GL36" s="19"/>
      <c r="GM36" s="19">
        <f t="shared" si="54"/>
        <v>0</v>
      </c>
      <c r="GN36" s="19">
        <f t="shared" si="55"/>
        <v>0</v>
      </c>
      <c r="GO36" s="19">
        <f t="shared" si="56"/>
        <v>0</v>
      </c>
      <c r="GP36" s="19">
        <f t="shared" si="21"/>
        <v>0</v>
      </c>
      <c r="GQ36" s="19">
        <f t="shared" si="57"/>
        <v>0</v>
      </c>
      <c r="GR36" s="19">
        <f t="shared" si="58"/>
        <v>0</v>
      </c>
      <c r="GS36" s="19">
        <f t="shared" si="59"/>
        <v>0</v>
      </c>
      <c r="GT36" s="19">
        <f t="shared" si="60"/>
        <v>0</v>
      </c>
      <c r="GU36" s="19">
        <f t="shared" si="61"/>
        <v>0</v>
      </c>
      <c r="GV36" t="str">
        <f t="shared" si="22"/>
        <v/>
      </c>
      <c r="GW36" t="str">
        <f t="shared" si="62"/>
        <v/>
      </c>
      <c r="GX36" t="str">
        <f t="shared" si="23"/>
        <v/>
      </c>
      <c r="GY36" t="str">
        <f t="shared" si="63"/>
        <v/>
      </c>
      <c r="GZ36" t="str">
        <f t="shared" si="24"/>
        <v/>
      </c>
    </row>
    <row r="37" spans="1:208" ht="18.75" customHeight="1" x14ac:dyDescent="0.15">
      <c r="A37">
        <v>26</v>
      </c>
      <c r="B37" s="15" t="str">
        <f>IF(D37="","",IF(D37="重複","",COUNTIF(B$12:$B36,"&gt;0")+1))</f>
        <v/>
      </c>
      <c r="C37" s="713"/>
      <c r="D37" s="185"/>
      <c r="E37" s="185"/>
      <c r="F37" s="36"/>
      <c r="G37" s="47"/>
      <c r="H37" s="402">
        <f t="shared" si="2"/>
        <v>0</v>
      </c>
      <c r="I37" s="201" t="str">
        <f>IF($BJ37=0,"",DATEDIF($BJ37,参照データ!$D$16,"Y"))</f>
        <v/>
      </c>
      <c r="J37" s="41"/>
      <c r="K37" s="41"/>
      <c r="L37" s="41"/>
      <c r="M37" s="41"/>
      <c r="N37" s="41"/>
      <c r="O37" s="49"/>
      <c r="P37" s="395"/>
      <c r="Q37" s="51"/>
      <c r="R37" s="289"/>
      <c r="S37" s="289"/>
      <c r="T37" s="289"/>
      <c r="U37" s="290"/>
      <c r="V37" s="293"/>
      <c r="W37" s="295"/>
      <c r="Y37" s="446"/>
      <c r="Z37" s="396" t="str">
        <f>IF($Y37="オープン",VLOOKUP($CO37,参照データ!$D$69:$M$86,9,0),IF($Y37="選手権",VLOOKUP($FC37,参照データ!$D$92:$O$121,10,0),""))</f>
        <v/>
      </c>
      <c r="AA37" s="446"/>
      <c r="AB37" s="666" t="str">
        <f>IF($AA37="オープン",VLOOKUP($CO37,参照データ!$D$69:$M$86,10,0),IF($AA37="選手権",VLOOKUP($FC37,参照データ!$D$92:$O$121,11,0),""))</f>
        <v/>
      </c>
      <c r="AC37" s="669"/>
      <c r="AD37" s="396" t="str">
        <f>IF($AC37="オープン",VLOOKUP($CO37,参照データ!$D$69:$M$86,10,0),IF($AC37="選手権",VLOOKUP($FC37,参照データ!$D$92:$O$121,11,0),""))</f>
        <v/>
      </c>
      <c r="AE37" s="446"/>
      <c r="AF37" s="396" t="str">
        <f>IF($AE37="オープン",VLOOKUP($CO37,参照データ!$D$69:$M$86,10,0),IF($AE37="選手権",VLOOKUP($FJ37,参照データ!$D$92:$O$121,12,0),""))</f>
        <v/>
      </c>
      <c r="AG37" s="446"/>
      <c r="AH37" s="396" t="str">
        <f>IF($AG37="オープン",VLOOKUP($CO37,参照データ!$D$69:$M$86,10,0),IF($AG37="選手権",VLOOKUP($FJ37,参照データ!$D$92:$O$121,12,0),""))</f>
        <v/>
      </c>
      <c r="AI37" s="446"/>
      <c r="AJ37" s="449"/>
      <c r="AK37" s="396" t="str">
        <f t="shared" si="3"/>
        <v/>
      </c>
      <c r="AL37" s="587"/>
      <c r="AM37" s="588" t="str">
        <f>IF($BJ37=0,"",DATEDIF($BJ37,参照データ!$D$17,"Y"))</f>
        <v/>
      </c>
      <c r="AN37" s="450"/>
      <c r="AO37" s="591" t="str">
        <f>IF(AN37="","",IF($BK37="男子",VLOOKUP($DI37,参照データ!$D$128:$M$145,10,FALSE),VLOOKUP($DH37,参照データ!$D$128:$M$145,10,FALSE)))</f>
        <v/>
      </c>
      <c r="AP37" s="450"/>
      <c r="AQ37" s="591" t="str">
        <f>IF(AP37="","",IF($BK37="男子",VLOOKUP($DI37,参照データ!$D$128:$M$145,10,FALSE),VLOOKUP($DH37,参照データ!$D$128:$M$145,10,FALSE)))</f>
        <v/>
      </c>
      <c r="AR37" s="450"/>
      <c r="AS37" s="591" t="str">
        <f>IF(AR37="","",IF($BK37="男子",VLOOKUP($DI37,参照データ!$D$128:$M$145,10,FALSE),VLOOKUP($DH37,参照データ!$D$128:$M$145,10,FALSE)))</f>
        <v/>
      </c>
      <c r="AT37" s="450"/>
      <c r="AU37" s="591" t="str">
        <f>IF(AT37="","",IF($BK37="男子",VLOOKUP($DI37,参照データ!$D$128:$M$145,10,FALSE),VLOOKUP($DH37,参照データ!$D$128:$M$145,10,FALSE)))</f>
        <v/>
      </c>
      <c r="AV37" s="448"/>
      <c r="AW37" s="448"/>
      <c r="AX37" s="585" t="str">
        <f t="shared" si="25"/>
        <v/>
      </c>
      <c r="AY37" s="448"/>
      <c r="AZ37" s="448"/>
      <c r="BA37" s="585" t="str">
        <f t="shared" si="83"/>
        <v/>
      </c>
      <c r="BB37" s="677"/>
      <c r="BC37" s="724"/>
      <c r="BD37" s="640"/>
      <c r="BE37" s="482"/>
      <c r="BF37" s="365"/>
      <c r="BG37" s="366"/>
      <c r="BJ37">
        <f t="shared" si="75"/>
        <v>0</v>
      </c>
      <c r="BK37" t="str">
        <f t="shared" si="65"/>
        <v/>
      </c>
      <c r="BL37" s="146"/>
      <c r="BO37" s="61" t="str">
        <f>IF($BJ37=0,"",IF(AND($I37&gt;=6,$I37&lt;=19),VLOOKUP($I37,参照データ!$B$28:$C$41,2,0),IF($I37&lt;6,6,19)))</f>
        <v/>
      </c>
      <c r="BP37" s="178" t="str">
        <f>IF($J37=$BI$12,VLOOKUP($BO37,参照データ!$C$28:$I$41,2,0),"")</f>
        <v/>
      </c>
      <c r="BQ37" s="169" t="str">
        <f>IF($K37=$BI$12,VLOOKUP($BO37,参照データ!$C$28:$I$41,3,0),"")</f>
        <v/>
      </c>
      <c r="BR37" s="169" t="str">
        <f>IF($L37=$BI$12,VLOOKUP($BO37,参照データ!$C$28:$I$41,4,0),"")</f>
        <v/>
      </c>
      <c r="BS37" s="169" t="str">
        <f>IF($M37=$BI$12,VLOOKUP($BO37,参照データ!$C$28:$I$41,5,0),"")</f>
        <v/>
      </c>
      <c r="BT37" s="169" t="str">
        <f>IF($N37=$BI$12,VLOOKUP($BO37,参照データ!$C$28:$I$41,6,0),"")</f>
        <v/>
      </c>
      <c r="BU37" s="179" t="str">
        <f>IF($O37=$BI$12,VLOOKUP($BO37,参照データ!$C$28:$I$41,7,0),"")</f>
        <v/>
      </c>
      <c r="BV37" s="178" t="str">
        <f>IF($J37=$BI$13,VLOOKUP($BO37,参照データ!$C$28:$I$41,2,0),"")</f>
        <v/>
      </c>
      <c r="BW37" s="169" t="str">
        <f>IF($K37=$BI$13,VLOOKUP($BO37,参照データ!$C$28:$I$41,3,0),"")</f>
        <v/>
      </c>
      <c r="BX37" s="169" t="str">
        <f>IF($L37=$BI$13,VLOOKUP($BO37,参照データ!$C$28:$I$41,4,0),"")</f>
        <v/>
      </c>
      <c r="BY37" s="169" t="str">
        <f>IF($M37=$BI$13,VLOOKUP($BO37,参照データ!$C$28:$I$41,5,0),"")</f>
        <v/>
      </c>
      <c r="BZ37" s="169" t="str">
        <f>IF($N37=$BI$13,VLOOKUP($BO37,参照データ!$C$28:$I$41,6,0),"")</f>
        <v/>
      </c>
      <c r="CA37" s="179" t="str">
        <f>IF($O37=$BI$13,VLOOKUP($BO37,参照データ!$C$28:$I$41,7,0),"")</f>
        <v/>
      </c>
      <c r="CB37" s="271" t="str">
        <f t="shared" si="26"/>
        <v/>
      </c>
      <c r="CC37" s="177" t="str">
        <f>IF($Q37="入門",VLOOKUP($BO37,参照データ!$C$47:$U$60,2,0),IF($Q37="初級",VLOOKUP($BO37,参照データ!$C$47:$U$60,3,0),IF($Q37="中級",VLOOKUP($BO37,参照データ!$C$47:$U$60,4,0),IF($Q37="上級",VLOOKUP($BO37,参照データ!$C$47:$U$60,5,0),""))))</f>
        <v/>
      </c>
      <c r="CD37" s="177" t="str">
        <f>IF($R37="初級",VLOOKUP($BO37,参照データ!$C$47:$U$60,6,0),IF($R37="中級",VLOOKUP($BO37,参照データ!$C$47:$U$60,7,0),IF($R37="上級",VLOOKUP($BO37,参照データ!$C$47:$U$60,8,0),"")))</f>
        <v/>
      </c>
      <c r="CE37" s="177" t="str">
        <f>IF($S37="初級",VLOOKUP($BO37,参照データ!$C$47:$U$60,9,0),IF($S37="上級",VLOOKUP($BO37,参照データ!$C$47:$U$60,10,0),""))</f>
        <v/>
      </c>
      <c r="CF37" s="177" t="str">
        <f>IF($T37="初級",VLOOKUP($BO37,参照データ!$C$47:$U$60,11,0),IF($T37="中級",VLOOKUP($BO37,参照データ!$C$47:$U$60,12,0),IF($T37="上級",VLOOKUP($BO37,参照データ!$C$47:$U$60,13,0),"")))</f>
        <v/>
      </c>
      <c r="CG37" s="177" t="str">
        <f>IF($U37="初級",VLOOKUP($BO37,参照データ!$C$47:$U$60,14,0),IF($U37="中級",VLOOKUP($BO37,参照データ!$C$47:$U$60,15,0),IF($U37="上級",VLOOKUP($BO37,参照データ!$C$47:$U$60,16,0),"")))</f>
        <v/>
      </c>
      <c r="CH37" s="55" t="str">
        <f t="shared" si="5"/>
        <v/>
      </c>
      <c r="CI37" s="55" t="str">
        <f>IF($V37="初級",VLOOKUP($BO37,参照データ!$C$47:$U$60,17,0),IF($V37="中級",VLOOKUP($BO37,参照データ!$C$47:$U$60,18,0),IF($V37="上級",VLOOKUP($BO37,参照データ!$C$47:$U$60,19,0),"")))</f>
        <v/>
      </c>
      <c r="CJ37" s="868"/>
      <c r="CK37" s="73" t="s">
        <v>261</v>
      </c>
      <c r="CL37" s="150" t="str">
        <f t="shared" si="6"/>
        <v/>
      </c>
      <c r="CM37" s="872"/>
      <c r="CO37" s="61">
        <f>IF(AND($BJ37&gt;=参照データ!$C$71,$BJ37&lt;=参照データ!$C$69),1,IF(AND($BJ37&gt;=参照データ!$C$74,$BJ37&lt;=参照データ!$C$72),2,IF(AND($BJ37&gt;=参照データ!$C$77,$BJ37&lt;=参照データ!$C$75),3,IF(AND($BJ37&gt;=参照データ!$C$80,$BJ37&lt;=参照データ!$C$78),4,IF(AND($BJ37&gt;=参照データ!$C$83,$BJ37&lt;=参照データ!$C$81),5,IF(AND($BJ37&gt;0,$BJ37&lt;=参照データ!$C$84),6,""))))))</f>
        <v>5</v>
      </c>
      <c r="CP37" s="160" t="str">
        <f>IF($Y37="オープン",(VLOOKUP($CO37,参照データ!$D$69:$J$86,2,0)),"")</f>
        <v/>
      </c>
      <c r="CQ37" s="79" t="str">
        <f t="shared" si="27"/>
        <v/>
      </c>
      <c r="CR37" s="78" t="str">
        <f>IF($AA37="オープン",(VLOOKUP($CO37,参照データ!$D$69:$J$86,3,0)),"")</f>
        <v/>
      </c>
      <c r="CS37" s="79" t="str">
        <f t="shared" si="28"/>
        <v/>
      </c>
      <c r="CT37" s="78" t="str">
        <f>IF($AC37="オープン",(VLOOKUP($CO37,参照データ!$D$69:$J$86,4,0)),"")</f>
        <v/>
      </c>
      <c r="CU37" s="79" t="str">
        <f t="shared" si="29"/>
        <v/>
      </c>
      <c r="CV37" s="78" t="str">
        <f>IF($AE37="オープン",(VLOOKUP($CO37,参照データ!$D$69:$J$86,5,0)),"")</f>
        <v/>
      </c>
      <c r="CW37" s="79" t="str">
        <f t="shared" si="7"/>
        <v/>
      </c>
      <c r="CX37" s="78" t="str">
        <f>IF($AG37="オープン",(VLOOKUP($CO37,参照データ!$D$69:$J$86,6,0)),"")</f>
        <v/>
      </c>
      <c r="CY37" s="79" t="str">
        <f t="shared" si="30"/>
        <v/>
      </c>
      <c r="CZ37" s="38" t="str">
        <f t="shared" si="31"/>
        <v/>
      </c>
      <c r="DA37" s="37" t="str">
        <f t="shared" si="32"/>
        <v/>
      </c>
      <c r="DB37" s="79" t="str">
        <f t="shared" si="33"/>
        <v/>
      </c>
      <c r="DC37" s="858"/>
      <c r="DD37" s="85" t="s">
        <v>111</v>
      </c>
      <c r="DE37" s="86" t="str">
        <f t="shared" si="34"/>
        <v/>
      </c>
      <c r="DF37" s="860"/>
      <c r="DG37" s="350" t="str">
        <f t="shared" ref="DG37" si="105">$DG36</f>
        <v/>
      </c>
      <c r="DH37" s="523">
        <f>IF(AND($BJ37&gt;=参照データ!$C$130,$BJ37&lt;=参照データ!$C$128),1,IF(AND($BJ37&gt;=参照データ!$C$133,$BJ37&lt;=参照データ!$C$131),2,IF(AND($BJ37&gt;=参照データ!$C$139,$BJ37&lt;=参照データ!$C$137),3,IF(AND($BJ37&gt;0,$BJ37&lt;=参照データ!$C$140),4,""))))</f>
        <v>1</v>
      </c>
      <c r="DI37" s="523">
        <f t="shared" si="35"/>
        <v>7</v>
      </c>
      <c r="DJ37" s="523" t="str">
        <f t="shared" si="36"/>
        <v/>
      </c>
      <c r="DK37" s="524" t="str">
        <f>IF($AN37="","",IF(AND($AN37="○",$BK37="男子"),VLOOKUP($DI37,参照データ!$D$128:$J$145,3,FALSE),VLOOKUP($DH37,参照データ!$D$128:$J$145,3,FALSE)))</f>
        <v/>
      </c>
      <c r="DL37" s="525" t="str">
        <f t="shared" si="37"/>
        <v/>
      </c>
      <c r="DM37" s="524" t="str">
        <f>IF($AP37="","",IF(AND($AP37="○",$BK37="男子"),VLOOKUP($DI37,参照データ!$D$128:$J$145,4,FALSE),VLOOKUP($DH37,参照データ!$D$128:$J$145,4,FALSE)))</f>
        <v/>
      </c>
      <c r="DN37" s="525" t="str">
        <f t="shared" si="38"/>
        <v/>
      </c>
      <c r="DO37" s="524" t="str">
        <f>IF($AR37="","",IF(AND($AR37="○",$BK37="男子"),VLOOKUP($DI37,参照データ!$D$128:$J$145,5,FALSE),VLOOKUP($DH37,参照データ!$D$128:$J$145,5,FALSE)))</f>
        <v/>
      </c>
      <c r="DP37" s="525" t="str">
        <f t="shared" si="39"/>
        <v/>
      </c>
      <c r="DQ37" s="524" t="str">
        <f>IF($AT37="","",IF(AND($AT37="○",$BK37="男子"),VLOOKUP($DI37,参照データ!$D$128:$J$145,6,FALSE),VLOOKUP($DH37,参照データ!$D$128:$J$145,6,FALSE)))</f>
        <v/>
      </c>
      <c r="DR37" s="525" t="str">
        <f t="shared" si="40"/>
        <v/>
      </c>
      <c r="DS37" s="526" t="str">
        <f t="shared" si="41"/>
        <v/>
      </c>
      <c r="DT37" s="527" t="str">
        <f t="shared" si="42"/>
        <v/>
      </c>
      <c r="DU37" s="528" t="str">
        <f t="shared" si="43"/>
        <v/>
      </c>
      <c r="DV37" s="983"/>
      <c r="DW37" s="531" t="s">
        <v>111</v>
      </c>
      <c r="DX37" s="532" t="str">
        <f t="shared" si="92"/>
        <v/>
      </c>
      <c r="DY37" s="994"/>
      <c r="DZ37" s="692" t="str">
        <f>$DZ36</f>
        <v/>
      </c>
      <c r="EA37" s="526" t="str">
        <f t="shared" si="85"/>
        <v/>
      </c>
      <c r="EB37" s="527" t="str">
        <f t="shared" si="86"/>
        <v/>
      </c>
      <c r="EC37" s="528" t="str">
        <f t="shared" si="87"/>
        <v/>
      </c>
      <c r="ED37" s="983"/>
      <c r="EE37" s="531" t="s">
        <v>111</v>
      </c>
      <c r="EF37" s="531" t="str">
        <f t="shared" si="88"/>
        <v/>
      </c>
      <c r="EG37" s="532" t="str">
        <f>IF(SUM(EF36:EF37)&lt;24,"",IF(SUM(EF36:EF37)&gt;=36,3,2))</f>
        <v/>
      </c>
      <c r="EH37" s="994"/>
      <c r="EI37" s="527" t="str">
        <f>$EI36</f>
        <v/>
      </c>
      <c r="EJ37" s="555" t="str">
        <f t="shared" si="13"/>
        <v/>
      </c>
      <c r="EK37" s="556" t="str">
        <f t="shared" si="44"/>
        <v/>
      </c>
      <c r="EL37" s="846"/>
      <c r="EM37" s="561" t="s">
        <v>793</v>
      </c>
      <c r="EN37" s="562" t="str">
        <f t="shared" si="45"/>
        <v/>
      </c>
      <c r="EO37" s="849"/>
      <c r="EP37" s="555" t="str">
        <f t="shared" si="14"/>
        <v/>
      </c>
      <c r="EQ37" s="556" t="str">
        <f t="shared" si="46"/>
        <v/>
      </c>
      <c r="ER37" s="846"/>
      <c r="ES37" s="561" t="s">
        <v>793</v>
      </c>
      <c r="ET37" s="562" t="str">
        <f t="shared" si="47"/>
        <v/>
      </c>
      <c r="EU37" s="849"/>
      <c r="EV37" s="38" t="str">
        <f t="shared" si="15"/>
        <v/>
      </c>
      <c r="EW37" s="552" t="str">
        <f t="shared" si="48"/>
        <v/>
      </c>
      <c r="EX37" s="833"/>
      <c r="EY37" s="559" t="s">
        <v>792</v>
      </c>
      <c r="EZ37" s="560" t="str">
        <f t="shared" si="49"/>
        <v/>
      </c>
      <c r="FA37" s="835"/>
      <c r="FB37" t="str">
        <f>IF($FC37="","",DATEDIF($BJ37,参照データ!$D$19,"Y"))</f>
        <v/>
      </c>
      <c r="FC37" s="298" t="str">
        <f>IFERROR(IF($BK37="男子",VLOOKUP($FJ37,参照データ!$D$92:$E$118,2,0),$FJ37),0)</f>
        <v/>
      </c>
      <c r="FD37" s="92" t="str">
        <f>IF($Y37="選手権",(VLOOKUP($FC37,参照データ!$D$92:$K$121,3,0)),"")</f>
        <v/>
      </c>
      <c r="FE37" s="93" t="str">
        <f t="shared" si="16"/>
        <v/>
      </c>
      <c r="FF37" s="92" t="str">
        <f>IF($AA37="選手権",(VLOOKUP($FC37,参照データ!$D$92:$K$121,4,0)),"")</f>
        <v/>
      </c>
      <c r="FG37" s="93" t="str">
        <f t="shared" si="17"/>
        <v/>
      </c>
      <c r="FH37" s="92" t="str">
        <f>IF($AC37="選手権",(VLOOKUP($FC37,参照データ!$D$92:$K$121,5,0)),"")</f>
        <v/>
      </c>
      <c r="FI37" s="93" t="str">
        <f t="shared" si="18"/>
        <v/>
      </c>
      <c r="FJ37" s="61" t="str">
        <f>IF(AND($BJ37&gt;=参照データ!$C$94,$BJ37&lt;=参照データ!$C$92),1,IF(AND($BJ37&gt;=参照データ!$C$97,$BJ37&lt;=参照データ!$C$95),2,IF(AND($BJ37&gt;=参照データ!$C$103,$BJ37&lt;=参照データ!$C$101),3,IF(AND($BJ37&gt;=参照データ!$C$109,$BJ37&lt;=参照データ!$C$107),4,IF(AND($BJ37&gt;=参照データ!$C$115,$BJ37&lt;=参照データ!$C$113),5,IF(AND($BJ37&gt;0,$BJ37&lt;=参照データ!$C$116),6,""))))))</f>
        <v/>
      </c>
      <c r="FK37" s="92" t="str">
        <f>IF($AE37="選手権",(VLOOKUP($FJ37,参照データ!$D$92:$K$121,6,0)),"")</f>
        <v/>
      </c>
      <c r="FL37" s="93" t="str">
        <f t="shared" si="19"/>
        <v/>
      </c>
      <c r="FM37" s="92" t="str">
        <f>IF($AG37="選手権",(VLOOKUP($FJ37,参照データ!$D$92:$K$121,7,0)),"")</f>
        <v/>
      </c>
      <c r="FN37" s="93" t="str">
        <f t="shared" si="50"/>
        <v/>
      </c>
      <c r="FO37" s="38" t="str">
        <f t="shared" si="51"/>
        <v/>
      </c>
      <c r="FP37" s="37" t="str">
        <f t="shared" si="52"/>
        <v/>
      </c>
      <c r="FQ37" s="93" t="str">
        <f t="shared" si="53"/>
        <v/>
      </c>
      <c r="FR37" s="976"/>
      <c r="FS37" s="99" t="s">
        <v>111</v>
      </c>
      <c r="FT37" s="100" t="str">
        <f t="shared" si="20"/>
        <v/>
      </c>
      <c r="FU37" s="978"/>
      <c r="FV37" s="356" t="str">
        <f t="shared" si="99"/>
        <v/>
      </c>
      <c r="FY37" s="40">
        <f>(COUNTIF($J37:$O37,"&lt;&gt;"))*参照データ!$E$3</f>
        <v>0</v>
      </c>
      <c r="FZ37" s="267" t="str">
        <f>IF($P37="○",参照データ!$E$4,"")</f>
        <v/>
      </c>
      <c r="GA37" s="19">
        <f>(SUM(COUNTIF($Q37:$U37,{"入門","初級"}))*参照データ!$E$9)+(SUM(COUNTIF($Q37:$U37,{"中級","上級"})*参照データ!$E$10))</f>
        <v>0</v>
      </c>
      <c r="GB37" s="19">
        <f>IFERROR(VLOOKUP($V37,参照データ!$D$9:$J$11,7,0),0)</f>
        <v>0</v>
      </c>
      <c r="GC37" s="19">
        <f>((COUNTIF($Y37:$AG37,"オープン"))*参照データ!$E$12)</f>
        <v>0</v>
      </c>
      <c r="GD37" s="19" t="str">
        <f>(IF($AI37="オープン",参照データ!$J$12,""))</f>
        <v/>
      </c>
      <c r="GE37" s="19">
        <f>(COUNTIF($AN37:$AU37,"○")*参照データ!$E$22)</f>
        <v>0</v>
      </c>
      <c r="GF37" s="19">
        <f>(COUNTIF($AV37:$BA37,"○")*参照データ!$I$22)</f>
        <v>0</v>
      </c>
      <c r="GI37" s="19">
        <f>((COUNTIF($Y37:$AG37,"選手権"))*参照データ!$E$13)</f>
        <v>0</v>
      </c>
      <c r="GJ37" s="19" t="str">
        <f>(IF($AI37="選手権",参照データ!$J$13,""))</f>
        <v/>
      </c>
      <c r="GK37" s="106">
        <f t="array" ref="GK37">SUM(IF(ISERROR(FY37:GJ37),0,(FY37:GJ37)))</f>
        <v>0</v>
      </c>
      <c r="GL37" s="19"/>
      <c r="GM37" s="19">
        <f t="shared" si="54"/>
        <v>0</v>
      </c>
      <c r="GN37" s="19">
        <f t="shared" si="55"/>
        <v>0</v>
      </c>
      <c r="GO37" s="19">
        <f t="shared" si="56"/>
        <v>0</v>
      </c>
      <c r="GP37" s="19">
        <f t="shared" si="21"/>
        <v>0</v>
      </c>
      <c r="GQ37" s="19">
        <f t="shared" si="57"/>
        <v>0</v>
      </c>
      <c r="GR37" s="19">
        <f t="shared" si="58"/>
        <v>0</v>
      </c>
      <c r="GS37" s="19">
        <f t="shared" si="59"/>
        <v>0</v>
      </c>
      <c r="GT37" s="19">
        <f t="shared" si="60"/>
        <v>0</v>
      </c>
      <c r="GU37" s="19">
        <f t="shared" si="61"/>
        <v>0</v>
      </c>
      <c r="GV37" t="str">
        <f t="shared" si="22"/>
        <v/>
      </c>
      <c r="GW37" t="str">
        <f t="shared" si="62"/>
        <v/>
      </c>
      <c r="GX37" t="str">
        <f t="shared" si="23"/>
        <v/>
      </c>
      <c r="GY37" t="str">
        <f t="shared" si="63"/>
        <v/>
      </c>
      <c r="GZ37" t="str">
        <f t="shared" si="24"/>
        <v/>
      </c>
    </row>
    <row r="38" spans="1:208" ht="18.75" customHeight="1" x14ac:dyDescent="0.15">
      <c r="A38">
        <v>27</v>
      </c>
      <c r="B38" s="15" t="str">
        <f>IF(D38="","",IF(D38="重複","",COUNTIF(B$12:$B37,"&gt;0")+1))</f>
        <v/>
      </c>
      <c r="C38" s="713"/>
      <c r="D38" s="185"/>
      <c r="E38" s="185"/>
      <c r="F38" s="36"/>
      <c r="G38" s="47"/>
      <c r="H38" s="402">
        <f t="shared" si="2"/>
        <v>0</v>
      </c>
      <c r="I38" s="201" t="str">
        <f>IF($BJ38=0,"",DATEDIF($BJ38,参照データ!$D$16,"Y"))</f>
        <v/>
      </c>
      <c r="J38" s="41"/>
      <c r="K38" s="41"/>
      <c r="L38" s="41"/>
      <c r="M38" s="41"/>
      <c r="N38" s="41"/>
      <c r="O38" s="49"/>
      <c r="P38" s="395"/>
      <c r="Q38" s="51"/>
      <c r="R38" s="289"/>
      <c r="S38" s="289"/>
      <c r="T38" s="289"/>
      <c r="U38" s="290"/>
      <c r="V38" s="293"/>
      <c r="W38" s="295"/>
      <c r="Y38" s="446"/>
      <c r="Z38" s="396" t="str">
        <f>IF($Y38="オープン",VLOOKUP($CO38,参照データ!$D$69:$M$86,9,0),IF($Y38="選手権",VLOOKUP($FC38,参照データ!$D$92:$O$121,10,0),""))</f>
        <v/>
      </c>
      <c r="AA38" s="446"/>
      <c r="AB38" s="666" t="str">
        <f>IF($AA38="オープン",VLOOKUP($CO38,参照データ!$D$69:$M$86,10,0),IF($AA38="選手権",VLOOKUP($FC38,参照データ!$D$92:$O$121,11,0),""))</f>
        <v/>
      </c>
      <c r="AC38" s="669"/>
      <c r="AD38" s="396" t="str">
        <f>IF($AC38="オープン",VLOOKUP($CO38,参照データ!$D$69:$M$86,10,0),IF($AC38="選手権",VLOOKUP($FC38,参照データ!$D$92:$O$121,11,0),""))</f>
        <v/>
      </c>
      <c r="AE38" s="446"/>
      <c r="AF38" s="396" t="str">
        <f>IF($AE38="オープン",VLOOKUP($CO38,参照データ!$D$69:$M$86,10,0),IF($AE38="選手権",VLOOKUP($FJ38,参照データ!$D$92:$O$121,12,0),""))</f>
        <v/>
      </c>
      <c r="AG38" s="446"/>
      <c r="AH38" s="396" t="str">
        <f>IF($AG38="オープン",VLOOKUP($CO38,参照データ!$D$69:$M$86,10,0),IF($AG38="選手権",VLOOKUP($FJ38,参照データ!$D$92:$O$121,12,0),""))</f>
        <v/>
      </c>
      <c r="AI38" s="446"/>
      <c r="AJ38" s="449"/>
      <c r="AK38" s="396" t="str">
        <f t="shared" si="3"/>
        <v/>
      </c>
      <c r="AL38" s="587"/>
      <c r="AM38" s="588" t="str">
        <f>IF($BJ38=0,"",DATEDIF($BJ38,参照データ!$D$17,"Y"))</f>
        <v/>
      </c>
      <c r="AN38" s="450"/>
      <c r="AO38" s="591" t="str">
        <f>IF(AN38="","",IF($BK38="男子",VLOOKUP($DI38,参照データ!$D$128:$M$145,10,FALSE),VLOOKUP($DH38,参照データ!$D$128:$M$145,10,FALSE)))</f>
        <v/>
      </c>
      <c r="AP38" s="450"/>
      <c r="AQ38" s="591" t="str">
        <f>IF(AP38="","",IF($BK38="男子",VLOOKUP($DI38,参照データ!$D$128:$M$145,10,FALSE),VLOOKUP($DH38,参照データ!$D$128:$M$145,10,FALSE)))</f>
        <v/>
      </c>
      <c r="AR38" s="450"/>
      <c r="AS38" s="591" t="str">
        <f>IF(AR38="","",IF($BK38="男子",VLOOKUP($DI38,参照データ!$D$128:$M$145,10,FALSE),VLOOKUP($DH38,参照データ!$D$128:$M$145,10,FALSE)))</f>
        <v/>
      </c>
      <c r="AT38" s="450"/>
      <c r="AU38" s="591" t="str">
        <f>IF(AT38="","",IF($BK38="男子",VLOOKUP($DI38,参照データ!$D$128:$M$145,10,FALSE),VLOOKUP($DH38,参照データ!$D$128:$M$145,10,FALSE)))</f>
        <v/>
      </c>
      <c r="AV38" s="448"/>
      <c r="AW38" s="448"/>
      <c r="AX38" s="585" t="str">
        <f t="shared" si="25"/>
        <v/>
      </c>
      <c r="AY38" s="448"/>
      <c r="AZ38" s="448"/>
      <c r="BA38" s="585" t="str">
        <f t="shared" si="83"/>
        <v/>
      </c>
      <c r="BB38" s="677"/>
      <c r="BC38" s="724"/>
      <c r="BD38" s="640"/>
      <c r="BE38" s="482"/>
      <c r="BF38" s="365"/>
      <c r="BG38" s="366"/>
      <c r="BJ38">
        <f t="shared" si="75"/>
        <v>0</v>
      </c>
      <c r="BK38" t="str">
        <f t="shared" si="65"/>
        <v/>
      </c>
      <c r="BL38" s="146"/>
      <c r="BO38" s="61" t="str">
        <f>IF($BJ38=0,"",IF(AND($I38&gt;=6,$I38&lt;=19),VLOOKUP($I38,参照データ!$B$28:$C$41,2,0),IF($I38&lt;6,6,19)))</f>
        <v/>
      </c>
      <c r="BP38" s="178" t="str">
        <f>IF($J38=$BI$12,VLOOKUP($BO38,参照データ!$C$28:$I$41,2,0),"")</f>
        <v/>
      </c>
      <c r="BQ38" s="169" t="str">
        <f>IF($K38=$BI$12,VLOOKUP($BO38,参照データ!$C$28:$I$41,3,0),"")</f>
        <v/>
      </c>
      <c r="BR38" s="169" t="str">
        <f>IF($L38=$BI$12,VLOOKUP($BO38,参照データ!$C$28:$I$41,4,0),"")</f>
        <v/>
      </c>
      <c r="BS38" s="169" t="str">
        <f>IF($M38=$BI$12,VLOOKUP($BO38,参照データ!$C$28:$I$41,5,0),"")</f>
        <v/>
      </c>
      <c r="BT38" s="169" t="str">
        <f>IF($N38=$BI$12,VLOOKUP($BO38,参照データ!$C$28:$I$41,6,0),"")</f>
        <v/>
      </c>
      <c r="BU38" s="179" t="str">
        <f>IF($O38=$BI$12,VLOOKUP($BO38,参照データ!$C$28:$I$41,7,0),"")</f>
        <v/>
      </c>
      <c r="BV38" s="178" t="str">
        <f>IF($J38=$BI$13,VLOOKUP($BO38,参照データ!$C$28:$I$41,2,0),"")</f>
        <v/>
      </c>
      <c r="BW38" s="169" t="str">
        <f>IF($K38=$BI$13,VLOOKUP($BO38,参照データ!$C$28:$I$41,3,0),"")</f>
        <v/>
      </c>
      <c r="BX38" s="169" t="str">
        <f>IF($L38=$BI$13,VLOOKUP($BO38,参照データ!$C$28:$I$41,4,0),"")</f>
        <v/>
      </c>
      <c r="BY38" s="169" t="str">
        <f>IF($M38=$BI$13,VLOOKUP($BO38,参照データ!$C$28:$I$41,5,0),"")</f>
        <v/>
      </c>
      <c r="BZ38" s="169" t="str">
        <f>IF($N38=$BI$13,VLOOKUP($BO38,参照データ!$C$28:$I$41,6,0),"")</f>
        <v/>
      </c>
      <c r="CA38" s="179" t="str">
        <f>IF($O38=$BI$13,VLOOKUP($BO38,参照データ!$C$28:$I$41,7,0),"")</f>
        <v/>
      </c>
      <c r="CB38" s="271" t="str">
        <f t="shared" si="26"/>
        <v/>
      </c>
      <c r="CC38" s="177" t="str">
        <f>IF($Q38="入門",VLOOKUP($BO38,参照データ!$C$47:$U$60,2,0),IF($Q38="初級",VLOOKUP($BO38,参照データ!$C$47:$U$60,3,0),IF($Q38="中級",VLOOKUP($BO38,参照データ!$C$47:$U$60,4,0),IF($Q38="上級",VLOOKUP($BO38,参照データ!$C$47:$U$60,5,0),""))))</f>
        <v/>
      </c>
      <c r="CD38" s="177" t="str">
        <f>IF($R38="初級",VLOOKUP($BO38,参照データ!$C$47:$U$60,6,0),IF($R38="中級",VLOOKUP($BO38,参照データ!$C$47:$U$60,7,0),IF($R38="上級",VLOOKUP($BO38,参照データ!$C$47:$U$60,8,0),"")))</f>
        <v/>
      </c>
      <c r="CE38" s="177" t="str">
        <f>IF($S38="初級",VLOOKUP($BO38,参照データ!$C$47:$U$60,9,0),IF($S38="上級",VLOOKUP($BO38,参照データ!$C$47:$U$60,10,0),""))</f>
        <v/>
      </c>
      <c r="CF38" s="177" t="str">
        <f>IF($T38="初級",VLOOKUP($BO38,参照データ!$C$47:$U$60,11,0),IF($T38="中級",VLOOKUP($BO38,参照データ!$C$47:$U$60,12,0),IF($T38="上級",VLOOKUP($BO38,参照データ!$C$47:$U$60,13,0),"")))</f>
        <v/>
      </c>
      <c r="CG38" s="177" t="str">
        <f>IF($U38="初級",VLOOKUP($BO38,参照データ!$C$47:$U$60,14,0),IF($U38="中級",VLOOKUP($BO38,参照データ!$C$47:$U$60,15,0),IF($U38="上級",VLOOKUP($BO38,参照データ!$C$47:$U$60,16,0),"")))</f>
        <v/>
      </c>
      <c r="CH38" s="55" t="str">
        <f t="shared" si="5"/>
        <v/>
      </c>
      <c r="CI38" s="55" t="str">
        <f>IF($V38="初級",VLOOKUP($BO38,参照データ!$C$47:$U$60,17,0),IF($V38="中級",VLOOKUP($BO38,参照データ!$C$47:$U$60,18,0),IF($V38="上級",VLOOKUP($BO38,参照データ!$C$47:$U$60,19,0),"")))</f>
        <v/>
      </c>
      <c r="CJ38" s="867">
        <v>14</v>
      </c>
      <c r="CK38" s="74" t="s">
        <v>262</v>
      </c>
      <c r="CL38" s="151" t="str">
        <f t="shared" si="6"/>
        <v/>
      </c>
      <c r="CM38" s="871" t="str">
        <f t="shared" ref="CM38" si="106">IF(OR($CL38="",$CL39=""),"",IF($CL38&gt;$CL39,$CL38,$CL39))</f>
        <v/>
      </c>
      <c r="CO38" s="61">
        <f>IF(AND($BJ38&gt;=参照データ!$C$71,$BJ38&lt;=参照データ!$C$69),1,IF(AND($BJ38&gt;=参照データ!$C$74,$BJ38&lt;=参照データ!$C$72),2,IF(AND($BJ38&gt;=参照データ!$C$77,$BJ38&lt;=参照データ!$C$75),3,IF(AND($BJ38&gt;=参照データ!$C$80,$BJ38&lt;=参照データ!$C$78),4,IF(AND($BJ38&gt;=参照データ!$C$83,$BJ38&lt;=参照データ!$C$81),5,IF(AND($BJ38&gt;0,$BJ38&lt;=参照データ!$C$84),6,""))))))</f>
        <v>5</v>
      </c>
      <c r="CP38" s="160" t="str">
        <f>IF($Y38="オープン",(VLOOKUP($CO38,参照データ!$D$69:$J$86,2,0)),"")</f>
        <v/>
      </c>
      <c r="CQ38" s="79" t="str">
        <f t="shared" si="27"/>
        <v/>
      </c>
      <c r="CR38" s="78" t="str">
        <f>IF($AA38="オープン",(VLOOKUP($CO38,参照データ!$D$69:$J$86,3,0)),"")</f>
        <v/>
      </c>
      <c r="CS38" s="79" t="str">
        <f t="shared" si="28"/>
        <v/>
      </c>
      <c r="CT38" s="78" t="str">
        <f>IF($AC38="オープン",(VLOOKUP($CO38,参照データ!$D$69:$J$86,4,0)),"")</f>
        <v/>
      </c>
      <c r="CU38" s="79" t="str">
        <f t="shared" si="29"/>
        <v/>
      </c>
      <c r="CV38" s="78" t="str">
        <f>IF($AE38="オープン",(VLOOKUP($CO38,参照データ!$D$69:$J$86,5,0)),"")</f>
        <v/>
      </c>
      <c r="CW38" s="79" t="str">
        <f t="shared" si="7"/>
        <v/>
      </c>
      <c r="CX38" s="78" t="str">
        <f>IF($AG38="オープン",(VLOOKUP($CO38,参照データ!$D$69:$J$86,6,0)),"")</f>
        <v/>
      </c>
      <c r="CY38" s="79" t="str">
        <f t="shared" si="30"/>
        <v/>
      </c>
      <c r="CZ38" s="38" t="str">
        <f t="shared" si="31"/>
        <v/>
      </c>
      <c r="DA38" s="37" t="str">
        <f t="shared" si="32"/>
        <v/>
      </c>
      <c r="DB38" s="79" t="str">
        <f t="shared" si="33"/>
        <v/>
      </c>
      <c r="DC38" s="857">
        <v>14</v>
      </c>
      <c r="DD38" s="87" t="s">
        <v>112</v>
      </c>
      <c r="DE38" s="88" t="str">
        <f t="shared" si="34"/>
        <v/>
      </c>
      <c r="DF38" s="859" t="e">
        <f>IF($DE38&gt;$DE39,VLOOKUP($DE38,参照データ!$D$69:$J$86,7,0),VLOOKUP($DE39,参照データ!$D$69:$J$86,7,0))</f>
        <v>#N/A</v>
      </c>
      <c r="DG38" s="350" t="str">
        <f>IFERROR(VLOOKUP($DF38,参照データ!$J$69:$M$86,4,0),"")</f>
        <v/>
      </c>
      <c r="DH38" s="523">
        <f>IF(AND($BJ38&gt;=参照データ!$C$130,$BJ38&lt;=参照データ!$C$128),1,IF(AND($BJ38&gt;=参照データ!$C$133,$BJ38&lt;=参照データ!$C$131),2,IF(AND($BJ38&gt;=参照データ!$C$139,$BJ38&lt;=参照データ!$C$137),3,IF(AND($BJ38&gt;0,$BJ38&lt;=参照データ!$C$140),4,""))))</f>
        <v>1</v>
      </c>
      <c r="DI38" s="523">
        <f t="shared" si="35"/>
        <v>7</v>
      </c>
      <c r="DJ38" s="523" t="str">
        <f t="shared" si="36"/>
        <v/>
      </c>
      <c r="DK38" s="524" t="str">
        <f>IF($AN38="","",IF(AND($AN38="○",$BK38="男子"),VLOOKUP($DI38,参照データ!$D$128:$J$145,3,FALSE),VLOOKUP($DH38,参照データ!$D$128:$J$145,3,FALSE)))</f>
        <v/>
      </c>
      <c r="DL38" s="525" t="str">
        <f t="shared" si="37"/>
        <v/>
      </c>
      <c r="DM38" s="524" t="str">
        <f>IF($AP38="","",IF(AND($AP38="○",$BK38="男子"),VLOOKUP($DI38,参照データ!$D$128:$J$145,4,FALSE),VLOOKUP($DH38,参照データ!$D$128:$J$145,4,FALSE)))</f>
        <v/>
      </c>
      <c r="DN38" s="525" t="str">
        <f t="shared" si="38"/>
        <v/>
      </c>
      <c r="DO38" s="524" t="str">
        <f>IF($AR38="","",IF(AND($AR38="○",$BK38="男子"),VLOOKUP($DI38,参照データ!$D$128:$J$145,5,FALSE),VLOOKUP($DH38,参照データ!$D$128:$J$145,5,FALSE)))</f>
        <v/>
      </c>
      <c r="DP38" s="525" t="str">
        <f t="shared" si="39"/>
        <v/>
      </c>
      <c r="DQ38" s="524" t="str">
        <f>IF($AT38="","",IF(AND($AT38="○",$BK38="男子"),VLOOKUP($DI38,参照データ!$D$128:$J$145,6,FALSE),VLOOKUP($DH38,参照データ!$D$128:$J$145,6,FALSE)))</f>
        <v/>
      </c>
      <c r="DR38" s="525" t="str">
        <f t="shared" si="40"/>
        <v/>
      </c>
      <c r="DS38" s="526" t="str">
        <f t="shared" si="41"/>
        <v/>
      </c>
      <c r="DT38" s="527" t="str">
        <f t="shared" si="42"/>
        <v/>
      </c>
      <c r="DU38" s="528" t="str">
        <f t="shared" si="43"/>
        <v/>
      </c>
      <c r="DV38" s="982">
        <v>14</v>
      </c>
      <c r="DW38" s="533" t="s">
        <v>112</v>
      </c>
      <c r="DX38" s="534" t="str">
        <f t="shared" si="92"/>
        <v/>
      </c>
      <c r="DY38" s="877" t="e">
        <f>IF($DX38&gt;$DX39,VLOOKUP($DX38,参照データ!$D$128:$K$145,7,0),VLOOKUP($DX39,参照データ!$D$128:$K$145,7,0))</f>
        <v>#N/A</v>
      </c>
      <c r="DZ38" s="692" t="str">
        <f>IFERROR(VLOOKUP($DY38,参照データ!$J$128:$N$145,5,0),"")</f>
        <v/>
      </c>
      <c r="EA38" s="526" t="str">
        <f t="shared" si="85"/>
        <v/>
      </c>
      <c r="EB38" s="527" t="str">
        <f t="shared" si="86"/>
        <v/>
      </c>
      <c r="EC38" s="528" t="str">
        <f t="shared" si="87"/>
        <v/>
      </c>
      <c r="ED38" s="982">
        <v>14</v>
      </c>
      <c r="EE38" s="533" t="s">
        <v>112</v>
      </c>
      <c r="EF38" s="533" t="str">
        <f t="shared" si="88"/>
        <v/>
      </c>
      <c r="EG38" s="534" t="str">
        <f>IF(SUM(EF38:EF39)&lt;24,"",IF(SUM(EF38:EF39)&gt;=36,3,2))</f>
        <v/>
      </c>
      <c r="EH38" s="877" t="e">
        <f>IF($EG38&gt;$EG39,VLOOKUP($EG38,参照データ!$D$128:$K$145,8,0),VLOOKUP($EG39,参照データ!$D$128:$K$145,8,0))</f>
        <v>#N/A</v>
      </c>
      <c r="EI38" s="527" t="str">
        <f>IFERROR(VLOOKUP($EH38,参照データ!$K$128:$N$145,4,0),"")</f>
        <v/>
      </c>
      <c r="EJ38" s="555" t="str">
        <f t="shared" si="13"/>
        <v/>
      </c>
      <c r="EK38" s="556" t="str">
        <f t="shared" si="44"/>
        <v/>
      </c>
      <c r="EL38" s="846"/>
      <c r="EM38" s="561" t="s">
        <v>795</v>
      </c>
      <c r="EN38" s="562" t="str">
        <f t="shared" si="45"/>
        <v/>
      </c>
      <c r="EO38" s="849"/>
      <c r="EP38" s="555" t="str">
        <f t="shared" si="14"/>
        <v/>
      </c>
      <c r="EQ38" s="556" t="str">
        <f t="shared" si="46"/>
        <v/>
      </c>
      <c r="ER38" s="846"/>
      <c r="ES38" s="561" t="s">
        <v>795</v>
      </c>
      <c r="ET38" s="562" t="str">
        <f t="shared" si="47"/>
        <v/>
      </c>
      <c r="EU38" s="849"/>
      <c r="EV38" s="38" t="str">
        <f t="shared" si="15"/>
        <v/>
      </c>
      <c r="EW38" s="552" t="str">
        <f t="shared" si="48"/>
        <v/>
      </c>
      <c r="EX38" s="833"/>
      <c r="EY38" s="559" t="s">
        <v>794</v>
      </c>
      <c r="EZ38" s="560" t="str">
        <f t="shared" si="49"/>
        <v/>
      </c>
      <c r="FA38" s="835"/>
      <c r="FB38" t="str">
        <f>IF($FC38="","",DATEDIF($BJ38,参照データ!$D$19,"Y"))</f>
        <v/>
      </c>
      <c r="FC38" s="298" t="str">
        <f>IFERROR(IF($BK38="男子",VLOOKUP($FJ38,参照データ!$D$92:$E$118,2,0),$FJ38),0)</f>
        <v/>
      </c>
      <c r="FD38" s="92" t="str">
        <f>IF($Y38="選手権",(VLOOKUP($FC38,参照データ!$D$92:$K$121,3,0)),"")</f>
        <v/>
      </c>
      <c r="FE38" s="93" t="str">
        <f t="shared" si="16"/>
        <v/>
      </c>
      <c r="FF38" s="92" t="str">
        <f>IF($AA38="選手権",(VLOOKUP($FC38,参照データ!$D$92:$K$121,4,0)),"")</f>
        <v/>
      </c>
      <c r="FG38" s="93" t="str">
        <f t="shared" si="17"/>
        <v/>
      </c>
      <c r="FH38" s="92" t="str">
        <f>IF($AC38="選手権",(VLOOKUP($FC38,参照データ!$D$92:$K$121,5,0)),"")</f>
        <v/>
      </c>
      <c r="FI38" s="93" t="str">
        <f t="shared" si="18"/>
        <v/>
      </c>
      <c r="FJ38" s="61" t="str">
        <f>IF(AND($BJ38&gt;=参照データ!$C$94,$BJ38&lt;=参照データ!$C$92),1,IF(AND($BJ38&gt;=参照データ!$C$97,$BJ38&lt;=参照データ!$C$95),2,IF(AND($BJ38&gt;=参照データ!$C$103,$BJ38&lt;=参照データ!$C$101),3,IF(AND($BJ38&gt;=参照データ!$C$109,$BJ38&lt;=参照データ!$C$107),4,IF(AND($BJ38&gt;=参照データ!$C$115,$BJ38&lt;=参照データ!$C$113),5,IF(AND($BJ38&gt;0,$BJ38&lt;=参照データ!$C$116),6,""))))))</f>
        <v/>
      </c>
      <c r="FK38" s="92" t="str">
        <f>IF($AE38="選手権",(VLOOKUP($FJ38,参照データ!$D$92:$K$121,6,0)),"")</f>
        <v/>
      </c>
      <c r="FL38" s="93" t="str">
        <f t="shared" si="19"/>
        <v/>
      </c>
      <c r="FM38" s="92" t="str">
        <f>IF($AG38="選手権",(VLOOKUP($FJ38,参照データ!$D$92:$K$121,7,0)),"")</f>
        <v/>
      </c>
      <c r="FN38" s="93" t="str">
        <f t="shared" si="50"/>
        <v/>
      </c>
      <c r="FO38" s="38" t="str">
        <f t="shared" si="51"/>
        <v/>
      </c>
      <c r="FP38" s="37" t="str">
        <f t="shared" si="52"/>
        <v/>
      </c>
      <c r="FQ38" s="93" t="str">
        <f t="shared" si="53"/>
        <v/>
      </c>
      <c r="FR38" s="979">
        <v>14</v>
      </c>
      <c r="FS38" s="101" t="s">
        <v>112</v>
      </c>
      <c r="FT38" s="102" t="str">
        <f t="shared" si="20"/>
        <v/>
      </c>
      <c r="FU38" s="980" t="e">
        <f>IF($FT38&gt;$FT39,VLOOKUP($FT38,参照データ!$D$92:$K$121,8,0),VLOOKUP($FT39,参照データ!$D$92:$K$121,8,0))</f>
        <v>#N/A</v>
      </c>
      <c r="FV38" s="356" t="str">
        <f>IFERROR(VLOOKUP($FU38,参照データ!$K$92:$O$121,5,0),"")</f>
        <v/>
      </c>
      <c r="FY38" s="40">
        <f>(COUNTIF($J38:$O38,"&lt;&gt;"))*参照データ!$E$3</f>
        <v>0</v>
      </c>
      <c r="FZ38" s="267" t="str">
        <f>IF($P38="○",参照データ!$E$4,"")</f>
        <v/>
      </c>
      <c r="GA38" s="19">
        <f>(SUM(COUNTIF($Q38:$U38,{"入門","初級"}))*参照データ!$E$9)+(SUM(COUNTIF($Q38:$U38,{"中級","上級"})*参照データ!$E$10))</f>
        <v>0</v>
      </c>
      <c r="GB38" s="19">
        <f>IFERROR(VLOOKUP($V38,参照データ!$D$9:$J$11,7,0),0)</f>
        <v>0</v>
      </c>
      <c r="GC38" s="19">
        <f>((COUNTIF($Y38:$AG38,"オープン"))*参照データ!$E$12)</f>
        <v>0</v>
      </c>
      <c r="GD38" s="19" t="str">
        <f>(IF($AI38="オープン",参照データ!$J$12,""))</f>
        <v/>
      </c>
      <c r="GE38" s="19">
        <f>(COUNTIF($AN38:$AU38,"○")*参照データ!$E$22)</f>
        <v>0</v>
      </c>
      <c r="GF38" s="19">
        <f>(COUNTIF($AV38:$BA38,"○")*参照データ!$I$22)</f>
        <v>0</v>
      </c>
      <c r="GI38" s="19">
        <f>((COUNTIF($Y38:$AG38,"選手権"))*参照データ!$E$13)</f>
        <v>0</v>
      </c>
      <c r="GJ38" s="19" t="str">
        <f>(IF($AI38="選手権",参照データ!$J$13,""))</f>
        <v/>
      </c>
      <c r="GK38" s="106">
        <f t="array" ref="GK38">SUM(IF(ISERROR(FY38:GJ38),0,(FY38:GJ38)))</f>
        <v>0</v>
      </c>
      <c r="GL38" s="19"/>
      <c r="GM38" s="19">
        <f t="shared" si="54"/>
        <v>0</v>
      </c>
      <c r="GN38" s="19">
        <f t="shared" si="55"/>
        <v>0</v>
      </c>
      <c r="GO38" s="19">
        <f t="shared" si="56"/>
        <v>0</v>
      </c>
      <c r="GP38" s="19">
        <f t="shared" si="21"/>
        <v>0</v>
      </c>
      <c r="GQ38" s="19">
        <f t="shared" si="57"/>
        <v>0</v>
      </c>
      <c r="GR38" s="19">
        <f t="shared" si="58"/>
        <v>0</v>
      </c>
      <c r="GS38" s="19">
        <f t="shared" si="59"/>
        <v>0</v>
      </c>
      <c r="GT38" s="19">
        <f t="shared" si="60"/>
        <v>0</v>
      </c>
      <c r="GU38" s="19">
        <f t="shared" si="61"/>
        <v>0</v>
      </c>
      <c r="GV38" t="str">
        <f t="shared" si="22"/>
        <v/>
      </c>
      <c r="GW38" t="str">
        <f t="shared" si="62"/>
        <v/>
      </c>
      <c r="GX38" t="str">
        <f t="shared" si="23"/>
        <v/>
      </c>
      <c r="GY38" t="str">
        <f t="shared" si="63"/>
        <v/>
      </c>
      <c r="GZ38" t="str">
        <f t="shared" si="24"/>
        <v/>
      </c>
    </row>
    <row r="39" spans="1:208" ht="18.75" customHeight="1" x14ac:dyDescent="0.15">
      <c r="A39">
        <v>28</v>
      </c>
      <c r="B39" s="15" t="str">
        <f>IF(D39="","",IF(D39="重複","",COUNTIF(B$12:$B38,"&gt;0")+1))</f>
        <v/>
      </c>
      <c r="C39" s="713"/>
      <c r="D39" s="185"/>
      <c r="E39" s="185"/>
      <c r="F39" s="36"/>
      <c r="G39" s="47"/>
      <c r="H39" s="402">
        <f t="shared" si="2"/>
        <v>0</v>
      </c>
      <c r="I39" s="201" t="str">
        <f>IF($BJ39=0,"",DATEDIF($BJ39,参照データ!$D$16,"Y"))</f>
        <v/>
      </c>
      <c r="J39" s="41"/>
      <c r="K39" s="41"/>
      <c r="L39" s="41"/>
      <c r="M39" s="41"/>
      <c r="N39" s="41"/>
      <c r="O39" s="49"/>
      <c r="P39" s="395"/>
      <c r="Q39" s="51"/>
      <c r="R39" s="289"/>
      <c r="S39" s="289"/>
      <c r="T39" s="289"/>
      <c r="U39" s="290"/>
      <c r="V39" s="293"/>
      <c r="W39" s="295"/>
      <c r="Y39" s="446"/>
      <c r="Z39" s="396" t="str">
        <f>IF($Y39="オープン",VLOOKUP($CO39,参照データ!$D$69:$M$86,9,0),IF($Y39="選手権",VLOOKUP($FC39,参照データ!$D$92:$O$121,10,0),""))</f>
        <v/>
      </c>
      <c r="AA39" s="446"/>
      <c r="AB39" s="666" t="str">
        <f>IF($AA39="オープン",VLOOKUP($CO39,参照データ!$D$69:$M$86,10,0),IF($AA39="選手権",VLOOKUP($FC39,参照データ!$D$92:$O$121,11,0),""))</f>
        <v/>
      </c>
      <c r="AC39" s="669"/>
      <c r="AD39" s="396" t="str">
        <f>IF($AC39="オープン",VLOOKUP($CO39,参照データ!$D$69:$M$86,10,0),IF($AC39="選手権",VLOOKUP($FC39,参照データ!$D$92:$O$121,11,0),""))</f>
        <v/>
      </c>
      <c r="AE39" s="446"/>
      <c r="AF39" s="396" t="str">
        <f>IF($AE39="オープン",VLOOKUP($CO39,参照データ!$D$69:$M$86,10,0),IF($AE39="選手権",VLOOKUP($FJ39,参照データ!$D$92:$O$121,12,0),""))</f>
        <v/>
      </c>
      <c r="AG39" s="446"/>
      <c r="AH39" s="396" t="str">
        <f>IF($AG39="オープン",VLOOKUP($CO39,参照データ!$D$69:$M$86,10,0),IF($AG39="選手権",VLOOKUP($FJ39,参照データ!$D$92:$O$121,12,0),""))</f>
        <v/>
      </c>
      <c r="AI39" s="446"/>
      <c r="AJ39" s="449"/>
      <c r="AK39" s="396" t="str">
        <f t="shared" si="3"/>
        <v/>
      </c>
      <c r="AL39" s="587"/>
      <c r="AM39" s="588" t="str">
        <f>IF($BJ39=0,"",DATEDIF($BJ39,参照データ!$D$17,"Y"))</f>
        <v/>
      </c>
      <c r="AN39" s="450"/>
      <c r="AO39" s="591" t="str">
        <f>IF(AN39="","",IF($BK39="男子",VLOOKUP($DI39,参照データ!$D$128:$M$145,10,FALSE),VLOOKUP($DH39,参照データ!$D$128:$M$145,10,FALSE)))</f>
        <v/>
      </c>
      <c r="AP39" s="450"/>
      <c r="AQ39" s="591" t="str">
        <f>IF(AP39="","",IF($BK39="男子",VLOOKUP($DI39,参照データ!$D$128:$M$145,10,FALSE),VLOOKUP($DH39,参照データ!$D$128:$M$145,10,FALSE)))</f>
        <v/>
      </c>
      <c r="AR39" s="450"/>
      <c r="AS39" s="591" t="str">
        <f>IF(AR39="","",IF($BK39="男子",VLOOKUP($DI39,参照データ!$D$128:$M$145,10,FALSE),VLOOKUP($DH39,参照データ!$D$128:$M$145,10,FALSE)))</f>
        <v/>
      </c>
      <c r="AT39" s="450"/>
      <c r="AU39" s="591" t="str">
        <f>IF(AT39="","",IF($BK39="男子",VLOOKUP($DI39,参照データ!$D$128:$M$145,10,FALSE),VLOOKUP($DH39,参照データ!$D$128:$M$145,10,FALSE)))</f>
        <v/>
      </c>
      <c r="AV39" s="448"/>
      <c r="AW39" s="448"/>
      <c r="AX39" s="585" t="str">
        <f t="shared" si="25"/>
        <v/>
      </c>
      <c r="AY39" s="448"/>
      <c r="AZ39" s="448"/>
      <c r="BA39" s="585" t="str">
        <f t="shared" si="83"/>
        <v/>
      </c>
      <c r="BB39" s="677"/>
      <c r="BC39" s="724"/>
      <c r="BD39" s="640"/>
      <c r="BE39" s="482"/>
      <c r="BF39" s="365"/>
      <c r="BG39" s="366"/>
      <c r="BJ39">
        <f t="shared" si="75"/>
        <v>0</v>
      </c>
      <c r="BK39" t="str">
        <f t="shared" si="65"/>
        <v/>
      </c>
      <c r="BL39" s="146"/>
      <c r="BO39" s="61" t="str">
        <f>IF($BJ39=0,"",IF(AND($I39&gt;=6,$I39&lt;=19),VLOOKUP($I39,参照データ!$B$28:$C$41,2,0),IF($I39&lt;6,6,19)))</f>
        <v/>
      </c>
      <c r="BP39" s="178" t="str">
        <f>IF($J39=$BI$12,VLOOKUP($BO39,参照データ!$C$28:$I$41,2,0),"")</f>
        <v/>
      </c>
      <c r="BQ39" s="169" t="str">
        <f>IF($K39=$BI$12,VLOOKUP($BO39,参照データ!$C$28:$I$41,3,0),"")</f>
        <v/>
      </c>
      <c r="BR39" s="169" t="str">
        <f>IF($L39=$BI$12,VLOOKUP($BO39,参照データ!$C$28:$I$41,4,0),"")</f>
        <v/>
      </c>
      <c r="BS39" s="169" t="str">
        <f>IF($M39=$BI$12,VLOOKUP($BO39,参照データ!$C$28:$I$41,5,0),"")</f>
        <v/>
      </c>
      <c r="BT39" s="169" t="str">
        <f>IF($N39=$BI$12,VLOOKUP($BO39,参照データ!$C$28:$I$41,6,0),"")</f>
        <v/>
      </c>
      <c r="BU39" s="179" t="str">
        <f>IF($O39=$BI$12,VLOOKUP($BO39,参照データ!$C$28:$I$41,7,0),"")</f>
        <v/>
      </c>
      <c r="BV39" s="178" t="str">
        <f>IF($J39=$BI$13,VLOOKUP($BO39,参照データ!$C$28:$I$41,2,0),"")</f>
        <v/>
      </c>
      <c r="BW39" s="169" t="str">
        <f>IF($K39=$BI$13,VLOOKUP($BO39,参照データ!$C$28:$I$41,3,0),"")</f>
        <v/>
      </c>
      <c r="BX39" s="169" t="str">
        <f>IF($L39=$BI$13,VLOOKUP($BO39,参照データ!$C$28:$I$41,4,0),"")</f>
        <v/>
      </c>
      <c r="BY39" s="169" t="str">
        <f>IF($M39=$BI$13,VLOOKUP($BO39,参照データ!$C$28:$I$41,5,0),"")</f>
        <v/>
      </c>
      <c r="BZ39" s="169" t="str">
        <f>IF($N39=$BI$13,VLOOKUP($BO39,参照データ!$C$28:$I$41,6,0),"")</f>
        <v/>
      </c>
      <c r="CA39" s="179" t="str">
        <f>IF($O39=$BI$13,VLOOKUP($BO39,参照データ!$C$28:$I$41,7,0),"")</f>
        <v/>
      </c>
      <c r="CB39" s="271" t="str">
        <f t="shared" si="26"/>
        <v/>
      </c>
      <c r="CC39" s="177" t="str">
        <f>IF($Q39="入門",VLOOKUP($BO39,参照データ!$C$47:$U$60,2,0),IF($Q39="初級",VLOOKUP($BO39,参照データ!$C$47:$U$60,3,0),IF($Q39="中級",VLOOKUP($BO39,参照データ!$C$47:$U$60,4,0),IF($Q39="上級",VLOOKUP($BO39,参照データ!$C$47:$U$60,5,0),""))))</f>
        <v/>
      </c>
      <c r="CD39" s="177" t="str">
        <f>IF($R39="初級",VLOOKUP($BO39,参照データ!$C$47:$U$60,6,0),IF($R39="中級",VLOOKUP($BO39,参照データ!$C$47:$U$60,7,0),IF($R39="上級",VLOOKUP($BO39,参照データ!$C$47:$U$60,8,0),"")))</f>
        <v/>
      </c>
      <c r="CE39" s="177" t="str">
        <f>IF($S39="初級",VLOOKUP($BO39,参照データ!$C$47:$U$60,9,0),IF($S39="上級",VLOOKUP($BO39,参照データ!$C$47:$U$60,10,0),""))</f>
        <v/>
      </c>
      <c r="CF39" s="177" t="str">
        <f>IF($T39="初級",VLOOKUP($BO39,参照データ!$C$47:$U$60,11,0),IF($T39="中級",VLOOKUP($BO39,参照データ!$C$47:$U$60,12,0),IF($T39="上級",VLOOKUP($BO39,参照データ!$C$47:$U$60,13,0),"")))</f>
        <v/>
      </c>
      <c r="CG39" s="177" t="str">
        <f>IF($U39="初級",VLOOKUP($BO39,参照データ!$C$47:$U$60,14,0),IF($U39="中級",VLOOKUP($BO39,参照データ!$C$47:$U$60,15,0),IF($U39="上級",VLOOKUP($BO39,参照データ!$C$47:$U$60,16,0),"")))</f>
        <v/>
      </c>
      <c r="CH39" s="55" t="str">
        <f t="shared" si="5"/>
        <v/>
      </c>
      <c r="CI39" s="55" t="str">
        <f>IF($V39="初級",VLOOKUP($BO39,参照データ!$C$47:$U$60,17,0),IF($V39="中級",VLOOKUP($BO39,参照データ!$C$47:$U$60,18,0),IF($V39="上級",VLOOKUP($BO39,参照データ!$C$47:$U$60,19,0),"")))</f>
        <v/>
      </c>
      <c r="CJ39" s="868"/>
      <c r="CK39" s="73" t="s">
        <v>263</v>
      </c>
      <c r="CL39" s="150" t="str">
        <f t="shared" si="6"/>
        <v/>
      </c>
      <c r="CM39" s="872"/>
      <c r="CO39" s="61">
        <f>IF(AND($BJ39&gt;=参照データ!$C$71,$BJ39&lt;=参照データ!$C$69),1,IF(AND($BJ39&gt;=参照データ!$C$74,$BJ39&lt;=参照データ!$C$72),2,IF(AND($BJ39&gt;=参照データ!$C$77,$BJ39&lt;=参照データ!$C$75),3,IF(AND($BJ39&gt;=参照データ!$C$80,$BJ39&lt;=参照データ!$C$78),4,IF(AND($BJ39&gt;=参照データ!$C$83,$BJ39&lt;=参照データ!$C$81),5,IF(AND($BJ39&gt;0,$BJ39&lt;=参照データ!$C$84),6,""))))))</f>
        <v>5</v>
      </c>
      <c r="CP39" s="160" t="str">
        <f>IF($Y39="オープン",(VLOOKUP($CO39,参照データ!$D$69:$J$86,2,0)),"")</f>
        <v/>
      </c>
      <c r="CQ39" s="79" t="str">
        <f t="shared" si="27"/>
        <v/>
      </c>
      <c r="CR39" s="78" t="str">
        <f>IF($AA39="オープン",(VLOOKUP($CO39,参照データ!$D$69:$J$86,3,0)),"")</f>
        <v/>
      </c>
      <c r="CS39" s="79" t="str">
        <f t="shared" si="28"/>
        <v/>
      </c>
      <c r="CT39" s="78" t="str">
        <f>IF($AC39="オープン",(VLOOKUP($CO39,参照データ!$D$69:$J$86,4,0)),"")</f>
        <v/>
      </c>
      <c r="CU39" s="79" t="str">
        <f t="shared" si="29"/>
        <v/>
      </c>
      <c r="CV39" s="78" t="str">
        <f>IF($AE39="オープン",(VLOOKUP($CO39,参照データ!$D$69:$J$86,5,0)),"")</f>
        <v/>
      </c>
      <c r="CW39" s="79" t="str">
        <f t="shared" si="7"/>
        <v/>
      </c>
      <c r="CX39" s="78" t="str">
        <f>IF($AG39="オープン",(VLOOKUP($CO39,参照データ!$D$69:$J$86,6,0)),"")</f>
        <v/>
      </c>
      <c r="CY39" s="79" t="str">
        <f t="shared" si="30"/>
        <v/>
      </c>
      <c r="CZ39" s="38" t="str">
        <f t="shared" si="31"/>
        <v/>
      </c>
      <c r="DA39" s="37" t="str">
        <f t="shared" si="32"/>
        <v/>
      </c>
      <c r="DB39" s="79" t="str">
        <f t="shared" si="33"/>
        <v/>
      </c>
      <c r="DC39" s="858"/>
      <c r="DD39" s="85" t="s">
        <v>113</v>
      </c>
      <c r="DE39" s="86" t="str">
        <f t="shared" si="34"/>
        <v/>
      </c>
      <c r="DF39" s="860"/>
      <c r="DG39" s="350" t="str">
        <f t="shared" ref="DG39" si="107">$DG38</f>
        <v/>
      </c>
      <c r="DH39" s="523">
        <f>IF(AND($BJ39&gt;=参照データ!$C$130,$BJ39&lt;=参照データ!$C$128),1,IF(AND($BJ39&gt;=参照データ!$C$133,$BJ39&lt;=参照データ!$C$131),2,IF(AND($BJ39&gt;=参照データ!$C$139,$BJ39&lt;=参照データ!$C$137),3,IF(AND($BJ39&gt;0,$BJ39&lt;=参照データ!$C$140),4,""))))</f>
        <v>1</v>
      </c>
      <c r="DI39" s="523">
        <f t="shared" si="35"/>
        <v>7</v>
      </c>
      <c r="DJ39" s="523" t="str">
        <f t="shared" si="36"/>
        <v/>
      </c>
      <c r="DK39" s="524" t="str">
        <f>IF($AN39="","",IF(AND($AN39="○",$BK39="男子"),VLOOKUP($DI39,参照データ!$D$128:$J$145,3,FALSE),VLOOKUP($DH39,参照データ!$D$128:$J$145,3,FALSE)))</f>
        <v/>
      </c>
      <c r="DL39" s="525" t="str">
        <f t="shared" si="37"/>
        <v/>
      </c>
      <c r="DM39" s="524" t="str">
        <f>IF($AP39="","",IF(AND($AP39="○",$BK39="男子"),VLOOKUP($DI39,参照データ!$D$128:$J$145,4,FALSE),VLOOKUP($DH39,参照データ!$D$128:$J$145,4,FALSE)))</f>
        <v/>
      </c>
      <c r="DN39" s="525" t="str">
        <f t="shared" si="38"/>
        <v/>
      </c>
      <c r="DO39" s="524" t="str">
        <f>IF($AR39="","",IF(AND($AR39="○",$BK39="男子"),VLOOKUP($DI39,参照データ!$D$128:$J$145,5,FALSE),VLOOKUP($DH39,参照データ!$D$128:$J$145,5,FALSE)))</f>
        <v/>
      </c>
      <c r="DP39" s="525" t="str">
        <f t="shared" si="39"/>
        <v/>
      </c>
      <c r="DQ39" s="524" t="str">
        <f>IF($AT39="","",IF(AND($AT39="○",$BK39="男子"),VLOOKUP($DI39,参照データ!$D$128:$J$145,6,FALSE),VLOOKUP($DH39,参照データ!$D$128:$J$145,6,FALSE)))</f>
        <v/>
      </c>
      <c r="DR39" s="525" t="str">
        <f t="shared" si="40"/>
        <v/>
      </c>
      <c r="DS39" s="526" t="str">
        <f t="shared" si="41"/>
        <v/>
      </c>
      <c r="DT39" s="527" t="str">
        <f t="shared" si="42"/>
        <v/>
      </c>
      <c r="DU39" s="528" t="str">
        <f t="shared" si="43"/>
        <v/>
      </c>
      <c r="DV39" s="983"/>
      <c r="DW39" s="531" t="s">
        <v>113</v>
      </c>
      <c r="DX39" s="532" t="str">
        <f t="shared" si="92"/>
        <v/>
      </c>
      <c r="DY39" s="994"/>
      <c r="DZ39" s="692" t="str">
        <f>$DZ38</f>
        <v/>
      </c>
      <c r="EA39" s="526" t="str">
        <f t="shared" si="85"/>
        <v/>
      </c>
      <c r="EB39" s="527" t="str">
        <f t="shared" si="86"/>
        <v/>
      </c>
      <c r="EC39" s="528" t="str">
        <f t="shared" si="87"/>
        <v/>
      </c>
      <c r="ED39" s="983"/>
      <c r="EE39" s="531" t="s">
        <v>113</v>
      </c>
      <c r="EF39" s="531" t="str">
        <f t="shared" si="88"/>
        <v/>
      </c>
      <c r="EG39" s="532" t="str">
        <f>IF(SUM(EF38:EF39)&lt;24,"",IF(SUM(EF38:EF39)&gt;=36,3,2))</f>
        <v/>
      </c>
      <c r="EH39" s="994"/>
      <c r="EI39" s="527" t="str">
        <f>$EI38</f>
        <v/>
      </c>
      <c r="EJ39" s="555" t="str">
        <f t="shared" si="13"/>
        <v/>
      </c>
      <c r="EK39" s="556" t="str">
        <f t="shared" si="44"/>
        <v/>
      </c>
      <c r="EL39" s="846"/>
      <c r="EM39" s="561" t="s">
        <v>797</v>
      </c>
      <c r="EN39" s="562" t="str">
        <f t="shared" si="45"/>
        <v/>
      </c>
      <c r="EO39" s="849"/>
      <c r="EP39" s="555" t="str">
        <f t="shared" si="14"/>
        <v/>
      </c>
      <c r="EQ39" s="556" t="str">
        <f t="shared" si="46"/>
        <v/>
      </c>
      <c r="ER39" s="846"/>
      <c r="ES39" s="561" t="s">
        <v>797</v>
      </c>
      <c r="ET39" s="562" t="str">
        <f t="shared" si="47"/>
        <v/>
      </c>
      <c r="EU39" s="849"/>
      <c r="EV39" s="38" t="str">
        <f t="shared" si="15"/>
        <v/>
      </c>
      <c r="EW39" s="552" t="str">
        <f t="shared" si="48"/>
        <v/>
      </c>
      <c r="EX39" s="833"/>
      <c r="EY39" s="559" t="s">
        <v>796</v>
      </c>
      <c r="EZ39" s="560" t="str">
        <f t="shared" si="49"/>
        <v/>
      </c>
      <c r="FA39" s="835"/>
      <c r="FB39" t="str">
        <f>IF($FC39="","",DATEDIF($BJ39,参照データ!$D$19,"Y"))</f>
        <v/>
      </c>
      <c r="FC39" s="298" t="str">
        <f>IFERROR(IF($BK39="男子",VLOOKUP($FJ39,参照データ!$D$92:$E$118,2,0),$FJ39),0)</f>
        <v/>
      </c>
      <c r="FD39" s="92" t="str">
        <f>IF($Y39="選手権",(VLOOKUP($FC39,参照データ!$D$92:$K$121,3,0)),"")</f>
        <v/>
      </c>
      <c r="FE39" s="93" t="str">
        <f t="shared" si="16"/>
        <v/>
      </c>
      <c r="FF39" s="92" t="str">
        <f>IF($AA39="選手権",(VLOOKUP($FC39,参照データ!$D$92:$K$121,4,0)),"")</f>
        <v/>
      </c>
      <c r="FG39" s="93" t="str">
        <f t="shared" si="17"/>
        <v/>
      </c>
      <c r="FH39" s="92" t="str">
        <f>IF($AC39="選手権",(VLOOKUP($FC39,参照データ!$D$92:$K$121,5,0)),"")</f>
        <v/>
      </c>
      <c r="FI39" s="93" t="str">
        <f t="shared" si="18"/>
        <v/>
      </c>
      <c r="FJ39" s="61" t="str">
        <f>IF(AND($BJ39&gt;=参照データ!$C$94,$BJ39&lt;=参照データ!$C$92),1,IF(AND($BJ39&gt;=参照データ!$C$97,$BJ39&lt;=参照データ!$C$95),2,IF(AND($BJ39&gt;=参照データ!$C$103,$BJ39&lt;=参照データ!$C$101),3,IF(AND($BJ39&gt;=参照データ!$C$109,$BJ39&lt;=参照データ!$C$107),4,IF(AND($BJ39&gt;=参照データ!$C$115,$BJ39&lt;=参照データ!$C$113),5,IF(AND($BJ39&gt;0,$BJ39&lt;=参照データ!$C$116),6,""))))))</f>
        <v/>
      </c>
      <c r="FK39" s="92" t="str">
        <f>IF($AE39="選手権",(VLOOKUP($FJ39,参照データ!$D$92:$K$121,6,0)),"")</f>
        <v/>
      </c>
      <c r="FL39" s="93" t="str">
        <f t="shared" si="19"/>
        <v/>
      </c>
      <c r="FM39" s="92" t="str">
        <f>IF($AG39="選手権",(VLOOKUP($FJ39,参照データ!$D$92:$K$121,7,0)),"")</f>
        <v/>
      </c>
      <c r="FN39" s="93" t="str">
        <f t="shared" si="50"/>
        <v/>
      </c>
      <c r="FO39" s="38" t="str">
        <f t="shared" si="51"/>
        <v/>
      </c>
      <c r="FP39" s="37" t="str">
        <f t="shared" si="52"/>
        <v/>
      </c>
      <c r="FQ39" s="93" t="str">
        <f t="shared" si="53"/>
        <v/>
      </c>
      <c r="FR39" s="976"/>
      <c r="FS39" s="99" t="s">
        <v>113</v>
      </c>
      <c r="FT39" s="100" t="str">
        <f t="shared" si="20"/>
        <v/>
      </c>
      <c r="FU39" s="978"/>
      <c r="FV39" s="356" t="str">
        <f t="shared" si="99"/>
        <v/>
      </c>
      <c r="FY39" s="40">
        <f>(COUNTIF($J39:$O39,"&lt;&gt;"))*参照データ!$E$3</f>
        <v>0</v>
      </c>
      <c r="FZ39" s="267" t="str">
        <f>IF($P39="○",参照データ!$E$4,"")</f>
        <v/>
      </c>
      <c r="GA39" s="19">
        <f>(SUM(COUNTIF($Q39:$U39,{"入門","初級"}))*参照データ!$E$9)+(SUM(COUNTIF($Q39:$U39,{"中級","上級"})*参照データ!$E$10))</f>
        <v>0</v>
      </c>
      <c r="GB39" s="19">
        <f>IFERROR(VLOOKUP($V39,参照データ!$D$9:$J$11,7,0),0)</f>
        <v>0</v>
      </c>
      <c r="GC39" s="19">
        <f>((COUNTIF($Y39:$AG39,"オープン"))*参照データ!$E$12)</f>
        <v>0</v>
      </c>
      <c r="GD39" s="19" t="str">
        <f>(IF($AI39="オープン",参照データ!$J$12,""))</f>
        <v/>
      </c>
      <c r="GE39" s="19">
        <f>(COUNTIF($AN39:$AU39,"○")*参照データ!$E$22)</f>
        <v>0</v>
      </c>
      <c r="GF39" s="19">
        <f>(COUNTIF($AV39:$BA39,"○")*参照データ!$I$22)</f>
        <v>0</v>
      </c>
      <c r="GI39" s="19">
        <f>((COUNTIF($Y39:$AG39,"選手権"))*参照データ!$E$13)</f>
        <v>0</v>
      </c>
      <c r="GJ39" s="19" t="str">
        <f>(IF($AI39="選手権",参照データ!$J$13,""))</f>
        <v/>
      </c>
      <c r="GK39" s="106">
        <f t="array" ref="GK39">SUM(IF(ISERROR(FY39:GJ39),0,(FY39:GJ39)))</f>
        <v>0</v>
      </c>
      <c r="GL39" s="19"/>
      <c r="GM39" s="19">
        <f t="shared" si="54"/>
        <v>0</v>
      </c>
      <c r="GN39" s="19">
        <f t="shared" si="55"/>
        <v>0</v>
      </c>
      <c r="GO39" s="19">
        <f t="shared" si="56"/>
        <v>0</v>
      </c>
      <c r="GP39" s="19">
        <f t="shared" si="21"/>
        <v>0</v>
      </c>
      <c r="GQ39" s="19">
        <f t="shared" si="57"/>
        <v>0</v>
      </c>
      <c r="GR39" s="19">
        <f t="shared" si="58"/>
        <v>0</v>
      </c>
      <c r="GS39" s="19">
        <f t="shared" si="59"/>
        <v>0</v>
      </c>
      <c r="GT39" s="19">
        <f t="shared" si="60"/>
        <v>0</v>
      </c>
      <c r="GU39" s="19">
        <f t="shared" si="61"/>
        <v>0</v>
      </c>
      <c r="GV39" t="str">
        <f t="shared" si="22"/>
        <v/>
      </c>
      <c r="GW39" t="str">
        <f t="shared" si="62"/>
        <v/>
      </c>
      <c r="GX39" t="str">
        <f t="shared" si="23"/>
        <v/>
      </c>
      <c r="GY39" t="str">
        <f t="shared" si="63"/>
        <v/>
      </c>
      <c r="GZ39" t="str">
        <f t="shared" si="24"/>
        <v/>
      </c>
    </row>
    <row r="40" spans="1:208" ht="18.75" customHeight="1" x14ac:dyDescent="0.15">
      <c r="A40">
        <v>29</v>
      </c>
      <c r="B40" s="15" t="str">
        <f>IF(D40="","",IF(D40="重複","",COUNTIF(B$12:$B39,"&gt;0")+1))</f>
        <v/>
      </c>
      <c r="C40" s="713"/>
      <c r="D40" s="185"/>
      <c r="E40" s="185"/>
      <c r="F40" s="36"/>
      <c r="G40" s="47"/>
      <c r="H40" s="402">
        <f t="shared" si="2"/>
        <v>0</v>
      </c>
      <c r="I40" s="201" t="str">
        <f>IF($BJ40=0,"",DATEDIF($BJ40,参照データ!$D$16,"Y"))</f>
        <v/>
      </c>
      <c r="J40" s="41"/>
      <c r="K40" s="41"/>
      <c r="L40" s="41"/>
      <c r="M40" s="41"/>
      <c r="N40" s="41"/>
      <c r="O40" s="49"/>
      <c r="P40" s="395"/>
      <c r="Q40" s="51"/>
      <c r="R40" s="289"/>
      <c r="S40" s="289"/>
      <c r="T40" s="289"/>
      <c r="U40" s="290"/>
      <c r="V40" s="293"/>
      <c r="W40" s="295"/>
      <c r="Y40" s="446"/>
      <c r="Z40" s="396" t="str">
        <f>IF($Y40="オープン",VLOOKUP($CO40,参照データ!$D$69:$M$86,9,0),IF($Y40="選手権",VLOOKUP($FC40,参照データ!$D$92:$O$121,10,0),""))</f>
        <v/>
      </c>
      <c r="AA40" s="446"/>
      <c r="AB40" s="666" t="str">
        <f>IF($AA40="オープン",VLOOKUP($CO40,参照データ!$D$69:$M$86,10,0),IF($AA40="選手権",VLOOKUP($FC40,参照データ!$D$92:$O$121,11,0),""))</f>
        <v/>
      </c>
      <c r="AC40" s="669"/>
      <c r="AD40" s="396" t="str">
        <f>IF($AC40="オープン",VLOOKUP($CO40,参照データ!$D$69:$M$86,10,0),IF($AC40="選手権",VLOOKUP($FC40,参照データ!$D$92:$O$121,11,0),""))</f>
        <v/>
      </c>
      <c r="AE40" s="446"/>
      <c r="AF40" s="396" t="str">
        <f>IF($AE40="オープン",VLOOKUP($CO40,参照データ!$D$69:$M$86,10,0),IF($AE40="選手権",VLOOKUP($FJ40,参照データ!$D$92:$O$121,12,0),""))</f>
        <v/>
      </c>
      <c r="AG40" s="446"/>
      <c r="AH40" s="396" t="str">
        <f>IF($AG40="オープン",VLOOKUP($CO40,参照データ!$D$69:$M$86,10,0),IF($AG40="選手権",VLOOKUP($FJ40,参照データ!$D$92:$O$121,12,0),""))</f>
        <v/>
      </c>
      <c r="AI40" s="446"/>
      <c r="AJ40" s="449"/>
      <c r="AK40" s="396" t="str">
        <f t="shared" si="3"/>
        <v/>
      </c>
      <c r="AL40" s="587"/>
      <c r="AM40" s="588" t="str">
        <f>IF($BJ40=0,"",DATEDIF($BJ40,参照データ!$D$17,"Y"))</f>
        <v/>
      </c>
      <c r="AN40" s="450"/>
      <c r="AO40" s="591" t="str">
        <f>IF(AN40="","",IF($BK40="男子",VLOOKUP($DI40,参照データ!$D$128:$M$145,10,FALSE),VLOOKUP($DH40,参照データ!$D$128:$M$145,10,FALSE)))</f>
        <v/>
      </c>
      <c r="AP40" s="450"/>
      <c r="AQ40" s="591" t="str">
        <f>IF(AP40="","",IF($BK40="男子",VLOOKUP($DI40,参照データ!$D$128:$M$145,10,FALSE),VLOOKUP($DH40,参照データ!$D$128:$M$145,10,FALSE)))</f>
        <v/>
      </c>
      <c r="AR40" s="450"/>
      <c r="AS40" s="591" t="str">
        <f>IF(AR40="","",IF($BK40="男子",VLOOKUP($DI40,参照データ!$D$128:$M$145,10,FALSE),VLOOKUP($DH40,参照データ!$D$128:$M$145,10,FALSE)))</f>
        <v/>
      </c>
      <c r="AT40" s="450"/>
      <c r="AU40" s="591" t="str">
        <f>IF(AT40="","",IF($BK40="男子",VLOOKUP($DI40,参照データ!$D$128:$M$145,10,FALSE),VLOOKUP($DH40,参照データ!$D$128:$M$145,10,FALSE)))</f>
        <v/>
      </c>
      <c r="AV40" s="448"/>
      <c r="AW40" s="448"/>
      <c r="AX40" s="585" t="str">
        <f t="shared" si="25"/>
        <v/>
      </c>
      <c r="AY40" s="448"/>
      <c r="AZ40" s="448"/>
      <c r="BA40" s="585" t="str">
        <f t="shared" si="83"/>
        <v/>
      </c>
      <c r="BB40" s="677"/>
      <c r="BC40" s="724"/>
      <c r="BD40" s="640"/>
      <c r="BE40" s="482"/>
      <c r="BF40" s="365"/>
      <c r="BG40" s="366"/>
      <c r="BJ40">
        <f t="shared" si="75"/>
        <v>0</v>
      </c>
      <c r="BK40" t="str">
        <f t="shared" si="65"/>
        <v/>
      </c>
      <c r="BL40" s="146"/>
      <c r="BO40" s="61" t="str">
        <f>IF($BJ40=0,"",IF(AND($I40&gt;=6,$I40&lt;=19),VLOOKUP($I40,参照データ!$B$28:$C$41,2,0),IF($I40&lt;6,6,19)))</f>
        <v/>
      </c>
      <c r="BP40" s="178" t="str">
        <f>IF($J40=$BI$12,VLOOKUP($BO40,参照データ!$C$28:$I$41,2,0),"")</f>
        <v/>
      </c>
      <c r="BQ40" s="169" t="str">
        <f>IF($K40=$BI$12,VLOOKUP($BO40,参照データ!$C$28:$I$41,3,0),"")</f>
        <v/>
      </c>
      <c r="BR40" s="169" t="str">
        <f>IF($L40=$BI$12,VLOOKUP($BO40,参照データ!$C$28:$I$41,4,0),"")</f>
        <v/>
      </c>
      <c r="BS40" s="169" t="str">
        <f>IF($M40=$BI$12,VLOOKUP($BO40,参照データ!$C$28:$I$41,5,0),"")</f>
        <v/>
      </c>
      <c r="BT40" s="169" t="str">
        <f>IF($N40=$BI$12,VLOOKUP($BO40,参照データ!$C$28:$I$41,6,0),"")</f>
        <v/>
      </c>
      <c r="BU40" s="179" t="str">
        <f>IF($O40=$BI$12,VLOOKUP($BO40,参照データ!$C$28:$I$41,7,0),"")</f>
        <v/>
      </c>
      <c r="BV40" s="178" t="str">
        <f>IF($J40=$BI$13,VLOOKUP($BO40,参照データ!$C$28:$I$41,2,0),"")</f>
        <v/>
      </c>
      <c r="BW40" s="169" t="str">
        <f>IF($K40=$BI$13,VLOOKUP($BO40,参照データ!$C$28:$I$41,3,0),"")</f>
        <v/>
      </c>
      <c r="BX40" s="169" t="str">
        <f>IF($L40=$BI$13,VLOOKUP($BO40,参照データ!$C$28:$I$41,4,0),"")</f>
        <v/>
      </c>
      <c r="BY40" s="169" t="str">
        <f>IF($M40=$BI$13,VLOOKUP($BO40,参照データ!$C$28:$I$41,5,0),"")</f>
        <v/>
      </c>
      <c r="BZ40" s="169" t="str">
        <f>IF($N40=$BI$13,VLOOKUP($BO40,参照データ!$C$28:$I$41,6,0),"")</f>
        <v/>
      </c>
      <c r="CA40" s="179" t="str">
        <f>IF($O40=$BI$13,VLOOKUP($BO40,参照データ!$C$28:$I$41,7,0),"")</f>
        <v/>
      </c>
      <c r="CB40" s="271" t="str">
        <f t="shared" si="26"/>
        <v/>
      </c>
      <c r="CC40" s="177" t="str">
        <f>IF($Q40="入門",VLOOKUP($BO40,参照データ!$C$47:$U$60,2,0),IF($Q40="初級",VLOOKUP($BO40,参照データ!$C$47:$U$60,3,0),IF($Q40="中級",VLOOKUP($BO40,参照データ!$C$47:$U$60,4,0),IF($Q40="上級",VLOOKUP($BO40,参照データ!$C$47:$U$60,5,0),""))))</f>
        <v/>
      </c>
      <c r="CD40" s="177" t="str">
        <f>IF($R40="初級",VLOOKUP($BO40,参照データ!$C$47:$U$60,6,0),IF($R40="中級",VLOOKUP($BO40,参照データ!$C$47:$U$60,7,0),IF($R40="上級",VLOOKUP($BO40,参照データ!$C$47:$U$60,8,0),"")))</f>
        <v/>
      </c>
      <c r="CE40" s="177" t="str">
        <f>IF($S40="初級",VLOOKUP($BO40,参照データ!$C$47:$U$60,9,0),IF($S40="上級",VLOOKUP($BO40,参照データ!$C$47:$U$60,10,0),""))</f>
        <v/>
      </c>
      <c r="CF40" s="177" t="str">
        <f>IF($T40="初級",VLOOKUP($BO40,参照データ!$C$47:$U$60,11,0),IF($T40="中級",VLOOKUP($BO40,参照データ!$C$47:$U$60,12,0),IF($T40="上級",VLOOKUP($BO40,参照データ!$C$47:$U$60,13,0),"")))</f>
        <v/>
      </c>
      <c r="CG40" s="177" t="str">
        <f>IF($U40="初級",VLOOKUP($BO40,参照データ!$C$47:$U$60,14,0),IF($U40="中級",VLOOKUP($BO40,参照データ!$C$47:$U$60,15,0),IF($U40="上級",VLOOKUP($BO40,参照データ!$C$47:$U$60,16,0),"")))</f>
        <v/>
      </c>
      <c r="CH40" s="55" t="str">
        <f t="shared" si="5"/>
        <v/>
      </c>
      <c r="CI40" s="55" t="str">
        <f>IF($V40="初級",VLOOKUP($BO40,参照データ!$C$47:$U$60,17,0),IF($V40="中級",VLOOKUP($BO40,参照データ!$C$47:$U$60,18,0),IF($V40="上級",VLOOKUP($BO40,参照データ!$C$47:$U$60,19,0),"")))</f>
        <v/>
      </c>
      <c r="CJ40" s="867">
        <v>15</v>
      </c>
      <c r="CK40" s="74" t="s">
        <v>264</v>
      </c>
      <c r="CL40" s="151" t="str">
        <f t="shared" si="6"/>
        <v/>
      </c>
      <c r="CM40" s="871" t="str">
        <f t="shared" ref="CM40" si="108">IF(OR($CL40="",$CL41=""),"",IF($CL40&gt;$CL41,$CL40,$CL41))</f>
        <v/>
      </c>
      <c r="CO40" s="61">
        <f>IF(AND($BJ40&gt;=参照データ!$C$71,$BJ40&lt;=参照データ!$C$69),1,IF(AND($BJ40&gt;=参照データ!$C$74,$BJ40&lt;=参照データ!$C$72),2,IF(AND($BJ40&gt;=参照データ!$C$77,$BJ40&lt;=参照データ!$C$75),3,IF(AND($BJ40&gt;=参照データ!$C$80,$BJ40&lt;=参照データ!$C$78),4,IF(AND($BJ40&gt;=参照データ!$C$83,$BJ40&lt;=参照データ!$C$81),5,IF(AND($BJ40&gt;0,$BJ40&lt;=参照データ!$C$84),6,""))))))</f>
        <v>5</v>
      </c>
      <c r="CP40" s="160" t="str">
        <f>IF($Y40="オープン",(VLOOKUP($CO40,参照データ!$D$69:$J$86,2,0)),"")</f>
        <v/>
      </c>
      <c r="CQ40" s="79" t="str">
        <f t="shared" si="27"/>
        <v/>
      </c>
      <c r="CR40" s="78" t="str">
        <f>IF($AA40="オープン",(VLOOKUP($CO40,参照データ!$D$69:$J$86,3,0)),"")</f>
        <v/>
      </c>
      <c r="CS40" s="79" t="str">
        <f t="shared" si="28"/>
        <v/>
      </c>
      <c r="CT40" s="78" t="str">
        <f>IF($AC40="オープン",(VLOOKUP($CO40,参照データ!$D$69:$J$86,4,0)),"")</f>
        <v/>
      </c>
      <c r="CU40" s="79" t="str">
        <f t="shared" si="29"/>
        <v/>
      </c>
      <c r="CV40" s="78" t="str">
        <f>IF($AE40="オープン",(VLOOKUP($CO40,参照データ!$D$69:$J$86,5,0)),"")</f>
        <v/>
      </c>
      <c r="CW40" s="79" t="str">
        <f t="shared" si="7"/>
        <v/>
      </c>
      <c r="CX40" s="78" t="str">
        <f>IF($AG40="オープン",(VLOOKUP($CO40,参照データ!$D$69:$J$86,6,0)),"")</f>
        <v/>
      </c>
      <c r="CY40" s="79" t="str">
        <f t="shared" si="30"/>
        <v/>
      </c>
      <c r="CZ40" s="38" t="str">
        <f t="shared" si="31"/>
        <v/>
      </c>
      <c r="DA40" s="37" t="str">
        <f t="shared" si="32"/>
        <v/>
      </c>
      <c r="DB40" s="79" t="str">
        <f t="shared" si="33"/>
        <v/>
      </c>
      <c r="DC40" s="857">
        <v>15</v>
      </c>
      <c r="DD40" s="87" t="s">
        <v>114</v>
      </c>
      <c r="DE40" s="88" t="str">
        <f t="shared" si="34"/>
        <v/>
      </c>
      <c r="DF40" s="859" t="e">
        <f>IF($DE40&gt;$DE41,VLOOKUP($DE40,参照データ!$D$69:$J$86,7,0),VLOOKUP($DE41,参照データ!$D$69:$J$86,7,0))</f>
        <v>#N/A</v>
      </c>
      <c r="DG40" s="350" t="str">
        <f>IFERROR(VLOOKUP($DF40,参照データ!$J$69:$M$86,4,0),"")</f>
        <v/>
      </c>
      <c r="DH40" s="523">
        <f>IF(AND($BJ40&gt;=参照データ!$C$130,$BJ40&lt;=参照データ!$C$128),1,IF(AND($BJ40&gt;=参照データ!$C$133,$BJ40&lt;=参照データ!$C$131),2,IF(AND($BJ40&gt;=参照データ!$C$139,$BJ40&lt;=参照データ!$C$137),3,IF(AND($BJ40&gt;0,$BJ40&lt;=参照データ!$C$140),4,""))))</f>
        <v>1</v>
      </c>
      <c r="DI40" s="523">
        <f t="shared" si="35"/>
        <v>7</v>
      </c>
      <c r="DJ40" s="523" t="str">
        <f t="shared" si="36"/>
        <v/>
      </c>
      <c r="DK40" s="524" t="str">
        <f>IF($AN40="","",IF(AND($AN40="○",$BK40="男子"),VLOOKUP($DI40,参照データ!$D$128:$J$145,3,FALSE),VLOOKUP($DH40,参照データ!$D$128:$J$145,3,FALSE)))</f>
        <v/>
      </c>
      <c r="DL40" s="525" t="str">
        <f t="shared" si="37"/>
        <v/>
      </c>
      <c r="DM40" s="524" t="str">
        <f>IF($AP40="","",IF(AND($AP40="○",$BK40="男子"),VLOOKUP($DI40,参照データ!$D$128:$J$145,4,FALSE),VLOOKUP($DH40,参照データ!$D$128:$J$145,4,FALSE)))</f>
        <v/>
      </c>
      <c r="DN40" s="525" t="str">
        <f t="shared" si="38"/>
        <v/>
      </c>
      <c r="DO40" s="524" t="str">
        <f>IF($AR40="","",IF(AND($AR40="○",$BK40="男子"),VLOOKUP($DI40,参照データ!$D$128:$J$145,5,FALSE),VLOOKUP($DH40,参照データ!$D$128:$J$145,5,FALSE)))</f>
        <v/>
      </c>
      <c r="DP40" s="525" t="str">
        <f t="shared" si="39"/>
        <v/>
      </c>
      <c r="DQ40" s="524" t="str">
        <f>IF($AT40="","",IF(AND($AT40="○",$BK40="男子"),VLOOKUP($DI40,参照データ!$D$128:$J$145,6,FALSE),VLOOKUP($DH40,参照データ!$D$128:$J$145,6,FALSE)))</f>
        <v/>
      </c>
      <c r="DR40" s="525" t="str">
        <f t="shared" si="40"/>
        <v/>
      </c>
      <c r="DS40" s="526" t="str">
        <f t="shared" si="41"/>
        <v/>
      </c>
      <c r="DT40" s="527" t="str">
        <f t="shared" si="42"/>
        <v/>
      </c>
      <c r="DU40" s="528" t="str">
        <f t="shared" si="43"/>
        <v/>
      </c>
      <c r="DV40" s="982">
        <v>15</v>
      </c>
      <c r="DW40" s="533" t="s">
        <v>114</v>
      </c>
      <c r="DX40" s="534" t="str">
        <f t="shared" si="92"/>
        <v/>
      </c>
      <c r="DY40" s="877" t="e">
        <f>IF($DX40&gt;$DX41,VLOOKUP($DX40,参照データ!$D$128:$K$145,7,0),VLOOKUP($DX41,参照データ!$D$128:$K$145,7,0))</f>
        <v>#N/A</v>
      </c>
      <c r="DZ40" s="692" t="str">
        <f>IFERROR(VLOOKUP($DY40,参照データ!$J$128:$N$145,5,0),"")</f>
        <v/>
      </c>
      <c r="EA40" s="526" t="str">
        <f t="shared" si="85"/>
        <v/>
      </c>
      <c r="EB40" s="527" t="str">
        <f t="shared" si="86"/>
        <v/>
      </c>
      <c r="EC40" s="528" t="str">
        <f t="shared" si="87"/>
        <v/>
      </c>
      <c r="ED40" s="982">
        <v>15</v>
      </c>
      <c r="EE40" s="533" t="s">
        <v>114</v>
      </c>
      <c r="EF40" s="533" t="str">
        <f t="shared" si="88"/>
        <v/>
      </c>
      <c r="EG40" s="534" t="str">
        <f>IF(SUM(EF40:EF41)&lt;24,"",IF(SUM(EF40:EF41)&gt;=36,3,2))</f>
        <v/>
      </c>
      <c r="EH40" s="877" t="e">
        <f>IF($EG40&gt;$EG41,VLOOKUP($EG40,参照データ!$D$128:$K$145,8,0),VLOOKUP($EG41,参照データ!$D$128:$K$145,8,0))</f>
        <v>#N/A</v>
      </c>
      <c r="EI40" s="527" t="str">
        <f>IFERROR(VLOOKUP($EH40,参照データ!$K$128:$N$145,4,0),"")</f>
        <v/>
      </c>
      <c r="EJ40" s="555" t="str">
        <f t="shared" si="13"/>
        <v/>
      </c>
      <c r="EK40" s="556" t="str">
        <f t="shared" si="44"/>
        <v/>
      </c>
      <c r="EL40" s="846"/>
      <c r="EM40" s="561" t="s">
        <v>799</v>
      </c>
      <c r="EN40" s="562" t="str">
        <f t="shared" si="45"/>
        <v/>
      </c>
      <c r="EO40" s="849"/>
      <c r="EP40" s="555" t="str">
        <f t="shared" si="14"/>
        <v/>
      </c>
      <c r="EQ40" s="556" t="str">
        <f t="shared" si="46"/>
        <v/>
      </c>
      <c r="ER40" s="846"/>
      <c r="ES40" s="561" t="s">
        <v>799</v>
      </c>
      <c r="ET40" s="562" t="str">
        <f t="shared" si="47"/>
        <v/>
      </c>
      <c r="EU40" s="849"/>
      <c r="EV40" s="38" t="str">
        <f t="shared" si="15"/>
        <v/>
      </c>
      <c r="EW40" s="552" t="str">
        <f t="shared" si="48"/>
        <v/>
      </c>
      <c r="EX40" s="833"/>
      <c r="EY40" s="559" t="s">
        <v>798</v>
      </c>
      <c r="EZ40" s="560" t="str">
        <f t="shared" si="49"/>
        <v/>
      </c>
      <c r="FA40" s="835"/>
      <c r="FB40" t="str">
        <f>IF($FC40="","",DATEDIF($BJ40,参照データ!$D$19,"Y"))</f>
        <v/>
      </c>
      <c r="FC40" s="298" t="str">
        <f>IFERROR(IF($BK40="男子",VLOOKUP($FJ40,参照データ!$D$92:$E$118,2,0),$FJ40),0)</f>
        <v/>
      </c>
      <c r="FD40" s="92" t="str">
        <f>IF($Y40="選手権",(VLOOKUP($FC40,参照データ!$D$92:$K$121,3,0)),"")</f>
        <v/>
      </c>
      <c r="FE40" s="93" t="str">
        <f t="shared" si="16"/>
        <v/>
      </c>
      <c r="FF40" s="92" t="str">
        <f>IF($AA40="選手権",(VLOOKUP($FC40,参照データ!$D$92:$K$121,4,0)),"")</f>
        <v/>
      </c>
      <c r="FG40" s="93" t="str">
        <f t="shared" si="17"/>
        <v/>
      </c>
      <c r="FH40" s="92" t="str">
        <f>IF($AC40="選手権",(VLOOKUP($FC40,参照データ!$D$92:$K$121,5,0)),"")</f>
        <v/>
      </c>
      <c r="FI40" s="93" t="str">
        <f t="shared" si="18"/>
        <v/>
      </c>
      <c r="FJ40" s="61" t="str">
        <f>IF(AND($BJ40&gt;=参照データ!$C$94,$BJ40&lt;=参照データ!$C$92),1,IF(AND($BJ40&gt;=参照データ!$C$97,$BJ40&lt;=参照データ!$C$95),2,IF(AND($BJ40&gt;=参照データ!$C$103,$BJ40&lt;=参照データ!$C$101),3,IF(AND($BJ40&gt;=参照データ!$C$109,$BJ40&lt;=参照データ!$C$107),4,IF(AND($BJ40&gt;=参照データ!$C$115,$BJ40&lt;=参照データ!$C$113),5,IF(AND($BJ40&gt;0,$BJ40&lt;=参照データ!$C$116),6,""))))))</f>
        <v/>
      </c>
      <c r="FK40" s="92" t="str">
        <f>IF($AE40="選手権",(VLOOKUP($FJ40,参照データ!$D$92:$K$121,6,0)),"")</f>
        <v/>
      </c>
      <c r="FL40" s="93" t="str">
        <f t="shared" si="19"/>
        <v/>
      </c>
      <c r="FM40" s="92" t="str">
        <f>IF($AG40="選手権",(VLOOKUP($FJ40,参照データ!$D$92:$K$121,7,0)),"")</f>
        <v/>
      </c>
      <c r="FN40" s="93" t="str">
        <f t="shared" si="50"/>
        <v/>
      </c>
      <c r="FO40" s="38" t="str">
        <f t="shared" si="51"/>
        <v/>
      </c>
      <c r="FP40" s="37" t="str">
        <f t="shared" si="52"/>
        <v/>
      </c>
      <c r="FQ40" s="93" t="str">
        <f t="shared" si="53"/>
        <v/>
      </c>
      <c r="FR40" s="979">
        <v>15</v>
      </c>
      <c r="FS40" s="101" t="s">
        <v>114</v>
      </c>
      <c r="FT40" s="102" t="str">
        <f t="shared" si="20"/>
        <v/>
      </c>
      <c r="FU40" s="980" t="e">
        <f>IF($FT40&gt;$FT41,VLOOKUP($FT40,参照データ!$D$92:$K$121,8,0),VLOOKUP($FT41,参照データ!$D$92:$K$121,8,0))</f>
        <v>#N/A</v>
      </c>
      <c r="FV40" s="356" t="str">
        <f>IFERROR(VLOOKUP($FU40,参照データ!$K$92:$O$121,5,0),"")</f>
        <v/>
      </c>
      <c r="FY40" s="40">
        <f>(COUNTIF($J40:$O40,"&lt;&gt;"))*参照データ!$E$3</f>
        <v>0</v>
      </c>
      <c r="FZ40" s="267" t="str">
        <f>IF($P40="○",参照データ!$E$4,"")</f>
        <v/>
      </c>
      <c r="GA40" s="19">
        <f>(SUM(COUNTIF($Q40:$U40,{"入門","初級"}))*参照データ!$E$9)+(SUM(COUNTIF($Q40:$U40,{"中級","上級"})*参照データ!$E$10))</f>
        <v>0</v>
      </c>
      <c r="GB40" s="19">
        <f>IFERROR(VLOOKUP($V40,参照データ!$D$9:$J$11,7,0),0)</f>
        <v>0</v>
      </c>
      <c r="GC40" s="19">
        <f>((COUNTIF($Y40:$AG40,"オープン"))*参照データ!$E$12)</f>
        <v>0</v>
      </c>
      <c r="GD40" s="19" t="str">
        <f>(IF($AI40="オープン",参照データ!$J$12,""))</f>
        <v/>
      </c>
      <c r="GE40" s="19">
        <f>(COUNTIF($AN40:$AU40,"○")*参照データ!$E$22)</f>
        <v>0</v>
      </c>
      <c r="GF40" s="19">
        <f>(COUNTIF($AV40:$BA40,"○")*参照データ!$I$22)</f>
        <v>0</v>
      </c>
      <c r="GI40" s="19">
        <f>((COUNTIF($Y40:$AG40,"選手権"))*参照データ!$E$13)</f>
        <v>0</v>
      </c>
      <c r="GJ40" s="19" t="str">
        <f>(IF($AI40="選手権",参照データ!$J$13,""))</f>
        <v/>
      </c>
      <c r="GK40" s="106">
        <f t="array" ref="GK40">SUM(IF(ISERROR(FY40:GJ40),0,(FY40:GJ40)))</f>
        <v>0</v>
      </c>
      <c r="GL40" s="19"/>
      <c r="GM40" s="19">
        <f t="shared" si="54"/>
        <v>0</v>
      </c>
      <c r="GN40" s="19">
        <f t="shared" si="55"/>
        <v>0</v>
      </c>
      <c r="GO40" s="19">
        <f t="shared" si="56"/>
        <v>0</v>
      </c>
      <c r="GP40" s="19">
        <f t="shared" si="21"/>
        <v>0</v>
      </c>
      <c r="GQ40" s="19">
        <f t="shared" si="57"/>
        <v>0</v>
      </c>
      <c r="GR40" s="19">
        <f t="shared" si="58"/>
        <v>0</v>
      </c>
      <c r="GS40" s="19">
        <f t="shared" si="59"/>
        <v>0</v>
      </c>
      <c r="GT40" s="19">
        <f t="shared" si="60"/>
        <v>0</v>
      </c>
      <c r="GU40" s="19">
        <f t="shared" si="61"/>
        <v>0</v>
      </c>
      <c r="GV40" t="str">
        <f t="shared" si="22"/>
        <v/>
      </c>
      <c r="GW40" t="str">
        <f t="shared" si="62"/>
        <v/>
      </c>
      <c r="GX40" t="str">
        <f t="shared" si="23"/>
        <v/>
      </c>
      <c r="GY40" t="str">
        <f t="shared" si="63"/>
        <v/>
      </c>
      <c r="GZ40" t="str">
        <f t="shared" si="24"/>
        <v/>
      </c>
    </row>
    <row r="41" spans="1:208" ht="18.75" customHeight="1" x14ac:dyDescent="0.15">
      <c r="A41">
        <v>30</v>
      </c>
      <c r="B41" s="15" t="str">
        <f>IF(D41="","",IF(D41="重複","",COUNTIF(B$12:$B40,"&gt;0")+1))</f>
        <v/>
      </c>
      <c r="C41" s="713"/>
      <c r="D41" s="185"/>
      <c r="E41" s="185"/>
      <c r="F41" s="36"/>
      <c r="G41" s="47"/>
      <c r="H41" s="402">
        <f t="shared" si="2"/>
        <v>0</v>
      </c>
      <c r="I41" s="201" t="str">
        <f>IF($BJ41=0,"",DATEDIF($BJ41,参照データ!$D$16,"Y"))</f>
        <v/>
      </c>
      <c r="J41" s="41"/>
      <c r="K41" s="41"/>
      <c r="L41" s="41"/>
      <c r="M41" s="41"/>
      <c r="N41" s="41"/>
      <c r="O41" s="49"/>
      <c r="P41" s="395"/>
      <c r="Q41" s="51"/>
      <c r="R41" s="289"/>
      <c r="S41" s="289"/>
      <c r="T41" s="289"/>
      <c r="U41" s="290"/>
      <c r="V41" s="293"/>
      <c r="W41" s="295"/>
      <c r="Y41" s="446"/>
      <c r="Z41" s="396" t="str">
        <f>IF($Y41="オープン",VLOOKUP($CO41,参照データ!$D$69:$M$86,9,0),IF($Y41="選手権",VLOOKUP($FC41,参照データ!$D$92:$O$121,10,0),""))</f>
        <v/>
      </c>
      <c r="AA41" s="446"/>
      <c r="AB41" s="666" t="str">
        <f>IF($AA41="オープン",VLOOKUP($CO41,参照データ!$D$69:$M$86,10,0),IF($AA41="選手権",VLOOKUP($FC41,参照データ!$D$92:$O$121,11,0),""))</f>
        <v/>
      </c>
      <c r="AC41" s="669"/>
      <c r="AD41" s="396" t="str">
        <f>IF($AC41="オープン",VLOOKUP($CO41,参照データ!$D$69:$M$86,10,0),IF($AC41="選手権",VLOOKUP($FC41,参照データ!$D$92:$O$121,11,0),""))</f>
        <v/>
      </c>
      <c r="AE41" s="446"/>
      <c r="AF41" s="396" t="str">
        <f>IF($AE41="オープン",VLOOKUP($CO41,参照データ!$D$69:$M$86,10,0),IF($AE41="選手権",VLOOKUP($FJ41,参照データ!$D$92:$O$121,12,0),""))</f>
        <v/>
      </c>
      <c r="AG41" s="446"/>
      <c r="AH41" s="396" t="str">
        <f>IF($AG41="オープン",VLOOKUP($CO41,参照データ!$D$69:$M$86,10,0),IF($AG41="選手権",VLOOKUP($FJ41,参照データ!$D$92:$O$121,12,0),""))</f>
        <v/>
      </c>
      <c r="AI41" s="446"/>
      <c r="AJ41" s="449"/>
      <c r="AK41" s="396" t="str">
        <f t="shared" si="3"/>
        <v/>
      </c>
      <c r="AL41" s="587"/>
      <c r="AM41" s="588" t="str">
        <f>IF($BJ41=0,"",DATEDIF($BJ41,参照データ!$D$17,"Y"))</f>
        <v/>
      </c>
      <c r="AN41" s="450"/>
      <c r="AO41" s="591" t="str">
        <f>IF(AN41="","",IF($BK41="男子",VLOOKUP($DI41,参照データ!$D$128:$M$145,10,FALSE),VLOOKUP($DH41,参照データ!$D$128:$M$145,10,FALSE)))</f>
        <v/>
      </c>
      <c r="AP41" s="450"/>
      <c r="AQ41" s="591" t="str">
        <f>IF(AP41="","",IF($BK41="男子",VLOOKUP($DI41,参照データ!$D$128:$M$145,10,FALSE),VLOOKUP($DH41,参照データ!$D$128:$M$145,10,FALSE)))</f>
        <v/>
      </c>
      <c r="AR41" s="450"/>
      <c r="AS41" s="591" t="str">
        <f>IF(AR41="","",IF($BK41="男子",VLOOKUP($DI41,参照データ!$D$128:$M$145,10,FALSE),VLOOKUP($DH41,参照データ!$D$128:$M$145,10,FALSE)))</f>
        <v/>
      </c>
      <c r="AT41" s="450"/>
      <c r="AU41" s="591" t="str">
        <f>IF(AT41="","",IF($BK41="男子",VLOOKUP($DI41,参照データ!$D$128:$M$145,10,FALSE),VLOOKUP($DH41,参照データ!$D$128:$M$145,10,FALSE)))</f>
        <v/>
      </c>
      <c r="AV41" s="448"/>
      <c r="AW41" s="448"/>
      <c r="AX41" s="585" t="str">
        <f t="shared" si="25"/>
        <v/>
      </c>
      <c r="AY41" s="448"/>
      <c r="AZ41" s="448"/>
      <c r="BA41" s="585" t="str">
        <f t="shared" si="83"/>
        <v/>
      </c>
      <c r="BB41" s="677"/>
      <c r="BC41" s="724"/>
      <c r="BD41" s="640"/>
      <c r="BE41" s="482"/>
      <c r="BF41" s="365"/>
      <c r="BG41" s="366"/>
      <c r="BJ41">
        <f t="shared" si="75"/>
        <v>0</v>
      </c>
      <c r="BK41" t="str">
        <f t="shared" si="65"/>
        <v/>
      </c>
      <c r="BL41" s="146"/>
      <c r="BO41" s="61" t="str">
        <f>IF($BJ41=0,"",IF(AND($I41&gt;=6,$I41&lt;=19),VLOOKUP($I41,参照データ!$B$28:$C$41,2,0),IF($I41&lt;6,6,19)))</f>
        <v/>
      </c>
      <c r="BP41" s="178" t="str">
        <f>IF($J41=$BI$12,VLOOKUP($BO41,参照データ!$C$28:$I$41,2,0),"")</f>
        <v/>
      </c>
      <c r="BQ41" s="169" t="str">
        <f>IF($K41=$BI$12,VLOOKUP($BO41,参照データ!$C$28:$I$41,3,0),"")</f>
        <v/>
      </c>
      <c r="BR41" s="169" t="str">
        <f>IF($L41=$BI$12,VLOOKUP($BO41,参照データ!$C$28:$I$41,4,0),"")</f>
        <v/>
      </c>
      <c r="BS41" s="169" t="str">
        <f>IF($M41=$BI$12,VLOOKUP($BO41,参照データ!$C$28:$I$41,5,0),"")</f>
        <v/>
      </c>
      <c r="BT41" s="169" t="str">
        <f>IF($N41=$BI$12,VLOOKUP($BO41,参照データ!$C$28:$I$41,6,0),"")</f>
        <v/>
      </c>
      <c r="BU41" s="179" t="str">
        <f>IF($O41=$BI$12,VLOOKUP($BO41,参照データ!$C$28:$I$41,7,0),"")</f>
        <v/>
      </c>
      <c r="BV41" s="178" t="str">
        <f>IF($J41=$BI$13,VLOOKUP($BO41,参照データ!$C$28:$I$41,2,0),"")</f>
        <v/>
      </c>
      <c r="BW41" s="169" t="str">
        <f>IF($K41=$BI$13,VLOOKUP($BO41,参照データ!$C$28:$I$41,3,0),"")</f>
        <v/>
      </c>
      <c r="BX41" s="169" t="str">
        <f>IF($L41=$BI$13,VLOOKUP($BO41,参照データ!$C$28:$I$41,4,0),"")</f>
        <v/>
      </c>
      <c r="BY41" s="169" t="str">
        <f>IF($M41=$BI$13,VLOOKUP($BO41,参照データ!$C$28:$I$41,5,0),"")</f>
        <v/>
      </c>
      <c r="BZ41" s="169" t="str">
        <f>IF($N41=$BI$13,VLOOKUP($BO41,参照データ!$C$28:$I$41,6,0),"")</f>
        <v/>
      </c>
      <c r="CA41" s="179" t="str">
        <f>IF($O41=$BI$13,VLOOKUP($BO41,参照データ!$C$28:$I$41,7,0),"")</f>
        <v/>
      </c>
      <c r="CB41" s="271" t="str">
        <f t="shared" si="26"/>
        <v/>
      </c>
      <c r="CC41" s="177" t="str">
        <f>IF($Q41="入門",VLOOKUP($BO41,参照データ!$C$47:$U$60,2,0),IF($Q41="初級",VLOOKUP($BO41,参照データ!$C$47:$U$60,3,0),IF($Q41="中級",VLOOKUP($BO41,参照データ!$C$47:$U$60,4,0),IF($Q41="上級",VLOOKUP($BO41,参照データ!$C$47:$U$60,5,0),""))))</f>
        <v/>
      </c>
      <c r="CD41" s="177" t="str">
        <f>IF($R41="初級",VLOOKUP($BO41,参照データ!$C$47:$U$60,6,0),IF($R41="中級",VLOOKUP($BO41,参照データ!$C$47:$U$60,7,0),IF($R41="上級",VLOOKUP($BO41,参照データ!$C$47:$U$60,8,0),"")))</f>
        <v/>
      </c>
      <c r="CE41" s="177" t="str">
        <f>IF($S41="初級",VLOOKUP($BO41,参照データ!$C$47:$U$60,9,0),IF($S41="上級",VLOOKUP($BO41,参照データ!$C$47:$U$60,10,0),""))</f>
        <v/>
      </c>
      <c r="CF41" s="177" t="str">
        <f>IF($T41="初級",VLOOKUP($BO41,参照データ!$C$47:$U$60,11,0),IF($T41="中級",VLOOKUP($BO41,参照データ!$C$47:$U$60,12,0),IF($T41="上級",VLOOKUP($BO41,参照データ!$C$47:$U$60,13,0),"")))</f>
        <v/>
      </c>
      <c r="CG41" s="177" t="str">
        <f>IF($U41="初級",VLOOKUP($BO41,参照データ!$C$47:$U$60,14,0),IF($U41="中級",VLOOKUP($BO41,参照データ!$C$47:$U$60,15,0),IF($U41="上級",VLOOKUP($BO41,参照データ!$C$47:$U$60,16,0),"")))</f>
        <v/>
      </c>
      <c r="CH41" s="55" t="str">
        <f t="shared" si="5"/>
        <v/>
      </c>
      <c r="CI41" s="55" t="str">
        <f>IF($V41="初級",VLOOKUP($BO41,参照データ!$C$47:$U$60,17,0),IF($V41="中級",VLOOKUP($BO41,参照データ!$C$47:$U$60,18,0),IF($V41="上級",VLOOKUP($BO41,参照データ!$C$47:$U$60,19,0),"")))</f>
        <v/>
      </c>
      <c r="CJ41" s="868"/>
      <c r="CK41" s="73" t="s">
        <v>265</v>
      </c>
      <c r="CL41" s="150" t="str">
        <f t="shared" si="6"/>
        <v/>
      </c>
      <c r="CM41" s="872"/>
      <c r="CO41" s="61">
        <f>IF(AND($BJ41&gt;=参照データ!$C$71,$BJ41&lt;=参照データ!$C$69),1,IF(AND($BJ41&gt;=参照データ!$C$74,$BJ41&lt;=参照データ!$C$72),2,IF(AND($BJ41&gt;=参照データ!$C$77,$BJ41&lt;=参照データ!$C$75),3,IF(AND($BJ41&gt;=参照データ!$C$80,$BJ41&lt;=参照データ!$C$78),4,IF(AND($BJ41&gt;=参照データ!$C$83,$BJ41&lt;=参照データ!$C$81),5,IF(AND($BJ41&gt;0,$BJ41&lt;=参照データ!$C$84),6,""))))))</f>
        <v>5</v>
      </c>
      <c r="CP41" s="160" t="str">
        <f>IF($Y41="オープン",(VLOOKUP($CO41,参照データ!$D$69:$J$86,2,0)),"")</f>
        <v/>
      </c>
      <c r="CQ41" s="79" t="str">
        <f t="shared" si="27"/>
        <v/>
      </c>
      <c r="CR41" s="78" t="str">
        <f>IF($AA41="オープン",(VLOOKUP($CO41,参照データ!$D$69:$J$86,3,0)),"")</f>
        <v/>
      </c>
      <c r="CS41" s="79" t="str">
        <f t="shared" si="28"/>
        <v/>
      </c>
      <c r="CT41" s="78" t="str">
        <f>IF($AC41="オープン",(VLOOKUP($CO41,参照データ!$D$69:$J$86,4,0)),"")</f>
        <v/>
      </c>
      <c r="CU41" s="79" t="str">
        <f t="shared" si="29"/>
        <v/>
      </c>
      <c r="CV41" s="78" t="str">
        <f>IF($AE41="オープン",(VLOOKUP($CO41,参照データ!$D$69:$J$86,5,0)),"")</f>
        <v/>
      </c>
      <c r="CW41" s="79" t="str">
        <f t="shared" si="7"/>
        <v/>
      </c>
      <c r="CX41" s="78" t="str">
        <f>IF($AG41="オープン",(VLOOKUP($CO41,参照データ!$D$69:$J$86,6,0)),"")</f>
        <v/>
      </c>
      <c r="CY41" s="79" t="str">
        <f t="shared" si="30"/>
        <v/>
      </c>
      <c r="CZ41" s="38" t="str">
        <f t="shared" si="31"/>
        <v/>
      </c>
      <c r="DA41" s="37" t="str">
        <f t="shared" si="32"/>
        <v/>
      </c>
      <c r="DB41" s="79" t="str">
        <f t="shared" si="33"/>
        <v/>
      </c>
      <c r="DC41" s="858"/>
      <c r="DD41" s="85" t="s">
        <v>115</v>
      </c>
      <c r="DE41" s="86" t="str">
        <f t="shared" si="34"/>
        <v/>
      </c>
      <c r="DF41" s="860"/>
      <c r="DG41" s="350" t="str">
        <f t="shared" ref="DG41" si="109">$DG40</f>
        <v/>
      </c>
      <c r="DH41" s="523">
        <f>IF(AND($BJ41&gt;=参照データ!$C$130,$BJ41&lt;=参照データ!$C$128),1,IF(AND($BJ41&gt;=参照データ!$C$133,$BJ41&lt;=参照データ!$C$131),2,IF(AND($BJ41&gt;=参照データ!$C$139,$BJ41&lt;=参照データ!$C$137),3,IF(AND($BJ41&gt;0,$BJ41&lt;=参照データ!$C$140),4,""))))</f>
        <v>1</v>
      </c>
      <c r="DI41" s="523">
        <f t="shared" si="35"/>
        <v>7</v>
      </c>
      <c r="DJ41" s="523" t="str">
        <f t="shared" si="36"/>
        <v/>
      </c>
      <c r="DK41" s="524" t="str">
        <f>IF($AN41="","",IF(AND($AN41="○",$BK41="男子"),VLOOKUP($DI41,参照データ!$D$128:$J$145,3,FALSE),VLOOKUP($DH41,参照データ!$D$128:$J$145,3,FALSE)))</f>
        <v/>
      </c>
      <c r="DL41" s="525" t="str">
        <f t="shared" si="37"/>
        <v/>
      </c>
      <c r="DM41" s="524" t="str">
        <f>IF($AP41="","",IF(AND($AP41="○",$BK41="男子"),VLOOKUP($DI41,参照データ!$D$128:$J$145,4,FALSE),VLOOKUP($DH41,参照データ!$D$128:$J$145,4,FALSE)))</f>
        <v/>
      </c>
      <c r="DN41" s="525" t="str">
        <f t="shared" si="38"/>
        <v/>
      </c>
      <c r="DO41" s="524" t="str">
        <f>IF($AR41="","",IF(AND($AR41="○",$BK41="男子"),VLOOKUP($DI41,参照データ!$D$128:$J$145,5,FALSE),VLOOKUP($DH41,参照データ!$D$128:$J$145,5,FALSE)))</f>
        <v/>
      </c>
      <c r="DP41" s="525" t="str">
        <f t="shared" si="39"/>
        <v/>
      </c>
      <c r="DQ41" s="524" t="str">
        <f>IF($AT41="","",IF(AND($AT41="○",$BK41="男子"),VLOOKUP($DI41,参照データ!$D$128:$J$145,6,FALSE),VLOOKUP($DH41,参照データ!$D$128:$J$145,6,FALSE)))</f>
        <v/>
      </c>
      <c r="DR41" s="525" t="str">
        <f t="shared" si="40"/>
        <v/>
      </c>
      <c r="DS41" s="526" t="str">
        <f t="shared" si="41"/>
        <v/>
      </c>
      <c r="DT41" s="527" t="str">
        <f t="shared" si="42"/>
        <v/>
      </c>
      <c r="DU41" s="528" t="str">
        <f t="shared" si="43"/>
        <v/>
      </c>
      <c r="DV41" s="983"/>
      <c r="DW41" s="531" t="s">
        <v>115</v>
      </c>
      <c r="DX41" s="532" t="str">
        <f t="shared" si="92"/>
        <v/>
      </c>
      <c r="DY41" s="994"/>
      <c r="DZ41" s="692" t="str">
        <f>$DZ40</f>
        <v/>
      </c>
      <c r="EA41" s="526" t="str">
        <f t="shared" si="85"/>
        <v/>
      </c>
      <c r="EB41" s="527" t="str">
        <f t="shared" si="86"/>
        <v/>
      </c>
      <c r="EC41" s="528" t="str">
        <f t="shared" si="87"/>
        <v/>
      </c>
      <c r="ED41" s="983"/>
      <c r="EE41" s="531" t="s">
        <v>115</v>
      </c>
      <c r="EF41" s="531" t="str">
        <f t="shared" si="88"/>
        <v/>
      </c>
      <c r="EG41" s="532" t="str">
        <f>IF(SUM(EF40:EF41)&lt;24,"",IF(SUM(EF40:EF41)&gt;=36,3,2))</f>
        <v/>
      </c>
      <c r="EH41" s="994"/>
      <c r="EI41" s="527" t="str">
        <f>$EI40</f>
        <v/>
      </c>
      <c r="EJ41" s="555" t="str">
        <f t="shared" si="13"/>
        <v/>
      </c>
      <c r="EK41" s="556" t="str">
        <f t="shared" si="44"/>
        <v/>
      </c>
      <c r="EL41" s="847"/>
      <c r="EM41" s="563" t="s">
        <v>801</v>
      </c>
      <c r="EN41" s="564" t="str">
        <f t="shared" si="45"/>
        <v/>
      </c>
      <c r="EO41" s="850"/>
      <c r="EP41" s="555" t="str">
        <f t="shared" si="14"/>
        <v/>
      </c>
      <c r="EQ41" s="556" t="str">
        <f t="shared" si="46"/>
        <v/>
      </c>
      <c r="ER41" s="847"/>
      <c r="ES41" s="563" t="s">
        <v>801</v>
      </c>
      <c r="ET41" s="564" t="str">
        <f t="shared" si="47"/>
        <v/>
      </c>
      <c r="EU41" s="850"/>
      <c r="EV41" s="38" t="str">
        <f t="shared" si="15"/>
        <v/>
      </c>
      <c r="EW41" s="552" t="str">
        <f t="shared" si="48"/>
        <v/>
      </c>
      <c r="EX41" s="833"/>
      <c r="EY41" s="559" t="s">
        <v>800</v>
      </c>
      <c r="EZ41" s="560" t="str">
        <f t="shared" si="49"/>
        <v/>
      </c>
      <c r="FA41" s="835"/>
      <c r="FB41" t="str">
        <f>IF($FC41="","",DATEDIF($BJ41,参照データ!$D$19,"Y"))</f>
        <v/>
      </c>
      <c r="FC41" s="298" t="str">
        <f>IFERROR(IF($BK41="男子",VLOOKUP($FJ41,参照データ!$D$92:$E$118,2,0),$FJ41),0)</f>
        <v/>
      </c>
      <c r="FD41" s="92" t="str">
        <f>IF($Y41="選手権",(VLOOKUP($FC41,参照データ!$D$92:$K$121,3,0)),"")</f>
        <v/>
      </c>
      <c r="FE41" s="93" t="str">
        <f t="shared" si="16"/>
        <v/>
      </c>
      <c r="FF41" s="92" t="str">
        <f>IF($AA41="選手権",(VLOOKUP($FC41,参照データ!$D$92:$K$121,4,0)),"")</f>
        <v/>
      </c>
      <c r="FG41" s="93" t="str">
        <f t="shared" si="17"/>
        <v/>
      </c>
      <c r="FH41" s="92" t="str">
        <f>IF($AC41="選手権",(VLOOKUP($FC41,参照データ!$D$92:$K$121,5,0)),"")</f>
        <v/>
      </c>
      <c r="FI41" s="93" t="str">
        <f t="shared" si="18"/>
        <v/>
      </c>
      <c r="FJ41" s="61" t="str">
        <f>IF(AND($BJ41&gt;=参照データ!$C$94,$BJ41&lt;=参照データ!$C$92),1,IF(AND($BJ41&gt;=参照データ!$C$97,$BJ41&lt;=参照データ!$C$95),2,IF(AND($BJ41&gt;=参照データ!$C$103,$BJ41&lt;=参照データ!$C$101),3,IF(AND($BJ41&gt;=参照データ!$C$109,$BJ41&lt;=参照データ!$C$107),4,IF(AND($BJ41&gt;=参照データ!$C$115,$BJ41&lt;=参照データ!$C$113),5,IF(AND($BJ41&gt;0,$BJ41&lt;=参照データ!$C$116),6,""))))))</f>
        <v/>
      </c>
      <c r="FK41" s="92" t="str">
        <f>IF($AE41="選手権",(VLOOKUP($FJ41,参照データ!$D$92:$K$121,6,0)),"")</f>
        <v/>
      </c>
      <c r="FL41" s="93" t="str">
        <f t="shared" si="19"/>
        <v/>
      </c>
      <c r="FM41" s="92" t="str">
        <f>IF($AG41="選手権",(VLOOKUP($FJ41,参照データ!$D$92:$K$121,7,0)),"")</f>
        <v/>
      </c>
      <c r="FN41" s="93" t="str">
        <f t="shared" si="50"/>
        <v/>
      </c>
      <c r="FO41" s="38" t="str">
        <f t="shared" si="51"/>
        <v/>
      </c>
      <c r="FP41" s="37" t="str">
        <f t="shared" si="52"/>
        <v/>
      </c>
      <c r="FQ41" s="93" t="str">
        <f t="shared" si="53"/>
        <v/>
      </c>
      <c r="FR41" s="976"/>
      <c r="FS41" s="99" t="s">
        <v>115</v>
      </c>
      <c r="FT41" s="100" t="str">
        <f t="shared" si="20"/>
        <v/>
      </c>
      <c r="FU41" s="978"/>
      <c r="FV41" s="356" t="str">
        <f t="shared" si="99"/>
        <v/>
      </c>
      <c r="FY41" s="40">
        <f>(COUNTIF($J41:$O41,"&lt;&gt;"))*参照データ!$E$3</f>
        <v>0</v>
      </c>
      <c r="FZ41" s="267" t="str">
        <f>IF($P41="○",参照データ!$E$4,"")</f>
        <v/>
      </c>
      <c r="GA41" s="19">
        <f>(SUM(COUNTIF($Q41:$U41,{"入門","初級"}))*参照データ!$E$9)+(SUM(COUNTIF($Q41:$U41,{"中級","上級"})*参照データ!$E$10))</f>
        <v>0</v>
      </c>
      <c r="GB41" s="19">
        <f>IFERROR(VLOOKUP($V41,参照データ!$D$9:$J$11,7,0),0)</f>
        <v>0</v>
      </c>
      <c r="GC41" s="19">
        <f>((COUNTIF($Y41:$AG41,"オープン"))*参照データ!$E$12)</f>
        <v>0</v>
      </c>
      <c r="GD41" s="19" t="str">
        <f>(IF($AI41="オープン",参照データ!$J$12,""))</f>
        <v/>
      </c>
      <c r="GE41" s="19">
        <f>(COUNTIF($AN41:$AU41,"○")*参照データ!$E$22)</f>
        <v>0</v>
      </c>
      <c r="GF41" s="19">
        <f>(COUNTIF($AV41:$BA41,"○")*参照データ!$I$22)</f>
        <v>0</v>
      </c>
      <c r="GI41" s="19">
        <f>((COUNTIF($Y41:$AG41,"選手権"))*参照データ!$E$13)</f>
        <v>0</v>
      </c>
      <c r="GJ41" s="19" t="str">
        <f>(IF($AI41="選手権",参照データ!$J$13,""))</f>
        <v/>
      </c>
      <c r="GK41" s="106">
        <f t="array" ref="GK41">SUM(IF(ISERROR(FY41:GJ41),0,(FY41:GJ41)))</f>
        <v>0</v>
      </c>
      <c r="GL41" s="19"/>
      <c r="GM41" s="19">
        <f t="shared" si="54"/>
        <v>0</v>
      </c>
      <c r="GN41" s="19">
        <f t="shared" si="55"/>
        <v>0</v>
      </c>
      <c r="GO41" s="19">
        <f t="shared" si="56"/>
        <v>0</v>
      </c>
      <c r="GP41" s="19">
        <f t="shared" si="21"/>
        <v>0</v>
      </c>
      <c r="GQ41" s="19">
        <f t="shared" si="57"/>
        <v>0</v>
      </c>
      <c r="GR41" s="19">
        <f t="shared" si="58"/>
        <v>0</v>
      </c>
      <c r="GS41" s="19">
        <f t="shared" si="59"/>
        <v>0</v>
      </c>
      <c r="GT41" s="19">
        <f t="shared" si="60"/>
        <v>0</v>
      </c>
      <c r="GU41" s="19">
        <f t="shared" si="61"/>
        <v>0</v>
      </c>
      <c r="GV41" t="str">
        <f t="shared" si="22"/>
        <v/>
      </c>
      <c r="GW41" t="str">
        <f t="shared" si="62"/>
        <v/>
      </c>
      <c r="GX41" t="str">
        <f t="shared" si="23"/>
        <v/>
      </c>
      <c r="GY41" t="str">
        <f t="shared" si="63"/>
        <v/>
      </c>
      <c r="GZ41" t="str">
        <f t="shared" si="24"/>
        <v/>
      </c>
    </row>
    <row r="42" spans="1:208" ht="18.75" customHeight="1" x14ac:dyDescent="0.15">
      <c r="A42">
        <v>31</v>
      </c>
      <c r="B42" s="15" t="str">
        <f>IF(D42="","",IF(D42="重複","",COUNTIF(B$12:$B41,"&gt;0")+1))</f>
        <v/>
      </c>
      <c r="C42" s="713"/>
      <c r="D42" s="185"/>
      <c r="E42" s="185"/>
      <c r="F42" s="36"/>
      <c r="G42" s="47"/>
      <c r="H42" s="402">
        <f t="shared" si="2"/>
        <v>0</v>
      </c>
      <c r="I42" s="201" t="str">
        <f>IF($BJ42=0,"",DATEDIF($BJ42,参照データ!$D$16,"Y"))</f>
        <v/>
      </c>
      <c r="J42" s="41"/>
      <c r="K42" s="41"/>
      <c r="L42" s="41"/>
      <c r="M42" s="41"/>
      <c r="N42" s="41"/>
      <c r="O42" s="49"/>
      <c r="P42" s="395"/>
      <c r="Q42" s="51"/>
      <c r="R42" s="289"/>
      <c r="S42" s="289"/>
      <c r="T42" s="289"/>
      <c r="U42" s="290"/>
      <c r="V42" s="293"/>
      <c r="W42" s="295"/>
      <c r="Y42" s="446"/>
      <c r="Z42" s="396" t="str">
        <f>IF($Y42="オープン",VLOOKUP($CO42,参照データ!$D$69:$M$86,9,0),IF($Y42="選手権",VLOOKUP($FC42,参照データ!$D$92:$O$121,10,0),""))</f>
        <v/>
      </c>
      <c r="AA42" s="446"/>
      <c r="AB42" s="666" t="str">
        <f>IF($AA42="オープン",VLOOKUP($CO42,参照データ!$D$69:$M$86,10,0),IF($AA42="選手権",VLOOKUP($FC42,参照データ!$D$92:$O$121,11,0),""))</f>
        <v/>
      </c>
      <c r="AC42" s="669"/>
      <c r="AD42" s="396" t="str">
        <f>IF($AC42="オープン",VLOOKUP($CO42,参照データ!$D$69:$M$86,10,0),IF($AC42="選手権",VLOOKUP($FC42,参照データ!$D$92:$O$121,11,0),""))</f>
        <v/>
      </c>
      <c r="AE42" s="446"/>
      <c r="AF42" s="396" t="str">
        <f>IF($AE42="オープン",VLOOKUP($CO42,参照データ!$D$69:$M$86,10,0),IF($AE42="選手権",VLOOKUP($FJ42,参照データ!$D$92:$O$121,12,0),""))</f>
        <v/>
      </c>
      <c r="AG42" s="446"/>
      <c r="AH42" s="396" t="str">
        <f>IF($AG42="オープン",VLOOKUP($CO42,参照データ!$D$69:$M$86,10,0),IF($AG42="選手権",VLOOKUP($FJ42,参照データ!$D$92:$O$121,12,0),""))</f>
        <v/>
      </c>
      <c r="AI42" s="446"/>
      <c r="AJ42" s="449"/>
      <c r="AK42" s="396" t="str">
        <f t="shared" si="3"/>
        <v/>
      </c>
      <c r="AL42" s="587"/>
      <c r="AM42" s="588" t="str">
        <f>IF($BJ42=0,"",DATEDIF($BJ42,参照データ!$D$17,"Y"))</f>
        <v/>
      </c>
      <c r="AN42" s="450"/>
      <c r="AO42" s="591" t="str">
        <f>IF(AN42="","",IF($BK42="男子",VLOOKUP($DI42,参照データ!$D$128:$M$145,10,FALSE),VLOOKUP($DH42,参照データ!$D$128:$M$145,10,FALSE)))</f>
        <v/>
      </c>
      <c r="AP42" s="450"/>
      <c r="AQ42" s="591" t="str">
        <f>IF(AP42="","",IF($BK42="男子",VLOOKUP($DI42,参照データ!$D$128:$M$145,10,FALSE),VLOOKUP($DH42,参照データ!$D$128:$M$145,10,FALSE)))</f>
        <v/>
      </c>
      <c r="AR42" s="450"/>
      <c r="AS42" s="591" t="str">
        <f>IF(AR42="","",IF($BK42="男子",VLOOKUP($DI42,参照データ!$D$128:$M$145,10,FALSE),VLOOKUP($DH42,参照データ!$D$128:$M$145,10,FALSE)))</f>
        <v/>
      </c>
      <c r="AT42" s="450"/>
      <c r="AU42" s="591" t="str">
        <f>IF(AT42="","",IF($BK42="男子",VLOOKUP($DI42,参照データ!$D$128:$M$145,10,FALSE),VLOOKUP($DH42,参照データ!$D$128:$M$145,10,FALSE)))</f>
        <v/>
      </c>
      <c r="AV42" s="448"/>
      <c r="AW42" s="448"/>
      <c r="AX42" s="585" t="str">
        <f t="shared" si="25"/>
        <v/>
      </c>
      <c r="AY42" s="448"/>
      <c r="AZ42" s="448"/>
      <c r="BA42" s="585" t="str">
        <f t="shared" si="83"/>
        <v/>
      </c>
      <c r="BB42" s="677"/>
      <c r="BC42" s="724"/>
      <c r="BD42" s="640"/>
      <c r="BE42" s="482"/>
      <c r="BF42" s="365"/>
      <c r="BG42" s="366"/>
      <c r="BJ42">
        <f t="shared" si="75"/>
        <v>0</v>
      </c>
      <c r="BK42" t="str">
        <f t="shared" si="65"/>
        <v/>
      </c>
      <c r="BL42" s="146"/>
      <c r="BO42" s="61" t="str">
        <f>IF($BJ42=0,"",IF(AND($I42&gt;=6,$I42&lt;=19),VLOOKUP($I42,参照データ!$B$28:$C$41,2,0),IF($I42&lt;6,6,19)))</f>
        <v/>
      </c>
      <c r="BP42" s="178" t="str">
        <f>IF($J42=$BI$12,VLOOKUP($BO42,参照データ!$C$28:$I$41,2,0),"")</f>
        <v/>
      </c>
      <c r="BQ42" s="169" t="str">
        <f>IF($K42=$BI$12,VLOOKUP($BO42,参照データ!$C$28:$I$41,3,0),"")</f>
        <v/>
      </c>
      <c r="BR42" s="169" t="str">
        <f>IF($L42=$BI$12,VLOOKUP($BO42,参照データ!$C$28:$I$41,4,0),"")</f>
        <v/>
      </c>
      <c r="BS42" s="169" t="str">
        <f>IF($M42=$BI$12,VLOOKUP($BO42,参照データ!$C$28:$I$41,5,0),"")</f>
        <v/>
      </c>
      <c r="BT42" s="169" t="str">
        <f>IF($N42=$BI$12,VLOOKUP($BO42,参照データ!$C$28:$I$41,6,0),"")</f>
        <v/>
      </c>
      <c r="BU42" s="179" t="str">
        <f>IF($O42=$BI$12,VLOOKUP($BO42,参照データ!$C$28:$I$41,7,0),"")</f>
        <v/>
      </c>
      <c r="BV42" s="178" t="str">
        <f>IF($J42=$BI$13,VLOOKUP($BO42,参照データ!$C$28:$I$41,2,0),"")</f>
        <v/>
      </c>
      <c r="BW42" s="169" t="str">
        <f>IF($K42=$BI$13,VLOOKUP($BO42,参照データ!$C$28:$I$41,3,0),"")</f>
        <v/>
      </c>
      <c r="BX42" s="169" t="str">
        <f>IF($L42=$BI$13,VLOOKUP($BO42,参照データ!$C$28:$I$41,4,0),"")</f>
        <v/>
      </c>
      <c r="BY42" s="169" t="str">
        <f>IF($M42=$BI$13,VLOOKUP($BO42,参照データ!$C$28:$I$41,5,0),"")</f>
        <v/>
      </c>
      <c r="BZ42" s="169" t="str">
        <f>IF($N42=$BI$13,VLOOKUP($BO42,参照データ!$C$28:$I$41,6,0),"")</f>
        <v/>
      </c>
      <c r="CA42" s="179" t="str">
        <f>IF($O42=$BI$13,VLOOKUP($BO42,参照データ!$C$28:$I$41,7,0),"")</f>
        <v/>
      </c>
      <c r="CB42" s="271" t="str">
        <f t="shared" si="26"/>
        <v/>
      </c>
      <c r="CC42" s="177" t="str">
        <f>IF($Q42="入門",VLOOKUP($BO42,参照データ!$C$47:$U$60,2,0),IF($Q42="初級",VLOOKUP($BO42,参照データ!$C$47:$U$60,3,0),IF($Q42="中級",VLOOKUP($BO42,参照データ!$C$47:$U$60,4,0),IF($Q42="上級",VLOOKUP($BO42,参照データ!$C$47:$U$60,5,0),""))))</f>
        <v/>
      </c>
      <c r="CD42" s="177" t="str">
        <f>IF($R42="初級",VLOOKUP($BO42,参照データ!$C$47:$U$60,6,0),IF($R42="中級",VLOOKUP($BO42,参照データ!$C$47:$U$60,7,0),IF($R42="上級",VLOOKUP($BO42,参照データ!$C$47:$U$60,8,0),"")))</f>
        <v/>
      </c>
      <c r="CE42" s="177" t="str">
        <f>IF($S42="初級",VLOOKUP($BO42,参照データ!$C$47:$U$60,9,0),IF($S42="上級",VLOOKUP($BO42,参照データ!$C$47:$U$60,10,0),""))</f>
        <v/>
      </c>
      <c r="CF42" s="177" t="str">
        <f>IF($T42="初級",VLOOKUP($BO42,参照データ!$C$47:$U$60,11,0),IF($T42="中級",VLOOKUP($BO42,参照データ!$C$47:$U$60,12,0),IF($T42="上級",VLOOKUP($BO42,参照データ!$C$47:$U$60,13,0),"")))</f>
        <v/>
      </c>
      <c r="CG42" s="177" t="str">
        <f>IF($U42="初級",VLOOKUP($BO42,参照データ!$C$47:$U$60,14,0),IF($U42="中級",VLOOKUP($BO42,参照データ!$C$47:$U$60,15,0),IF($U42="上級",VLOOKUP($BO42,参照データ!$C$47:$U$60,16,0),"")))</f>
        <v/>
      </c>
      <c r="CH42" s="55" t="str">
        <f t="shared" si="5"/>
        <v/>
      </c>
      <c r="CI42" s="55" t="str">
        <f>IF($V42="初級",VLOOKUP($BO42,参照データ!$C$47:$U$60,17,0),IF($V42="中級",VLOOKUP($BO42,参照データ!$C$47:$U$60,18,0),IF($V42="上級",VLOOKUP($BO42,参照データ!$C$47:$U$60,19,0),"")))</f>
        <v/>
      </c>
      <c r="CJ42" s="867">
        <v>16</v>
      </c>
      <c r="CK42" s="74" t="s">
        <v>266</v>
      </c>
      <c r="CL42" s="151" t="str">
        <f t="shared" si="6"/>
        <v/>
      </c>
      <c r="CM42" s="871" t="str">
        <f t="shared" ref="CM42" si="110">IF(OR($CL42="",$CL43=""),"",IF($CL42&gt;$CL43,$CL42,$CL43))</f>
        <v/>
      </c>
      <c r="CO42" s="61">
        <f>IF(AND($BJ42&gt;=参照データ!$C$71,$BJ42&lt;=参照データ!$C$69),1,IF(AND($BJ42&gt;=参照データ!$C$74,$BJ42&lt;=参照データ!$C$72),2,IF(AND($BJ42&gt;=参照データ!$C$77,$BJ42&lt;=参照データ!$C$75),3,IF(AND($BJ42&gt;=参照データ!$C$80,$BJ42&lt;=参照データ!$C$78),4,IF(AND($BJ42&gt;=参照データ!$C$83,$BJ42&lt;=参照データ!$C$81),5,IF(AND($BJ42&gt;0,$BJ42&lt;=参照データ!$C$84),6,""))))))</f>
        <v>5</v>
      </c>
      <c r="CP42" s="160" t="str">
        <f>IF($Y42="オープン",(VLOOKUP($CO42,参照データ!$D$69:$J$86,2,0)),"")</f>
        <v/>
      </c>
      <c r="CQ42" s="79" t="str">
        <f t="shared" si="27"/>
        <v/>
      </c>
      <c r="CR42" s="78" t="str">
        <f>IF($AA42="オープン",(VLOOKUP($CO42,参照データ!$D$69:$J$86,3,0)),"")</f>
        <v/>
      </c>
      <c r="CS42" s="79" t="str">
        <f t="shared" si="28"/>
        <v/>
      </c>
      <c r="CT42" s="78" t="str">
        <f>IF($AC42="オープン",(VLOOKUP($CO42,参照データ!$D$69:$J$86,4,0)),"")</f>
        <v/>
      </c>
      <c r="CU42" s="79" t="str">
        <f t="shared" si="29"/>
        <v/>
      </c>
      <c r="CV42" s="78" t="str">
        <f>IF($AE42="オープン",(VLOOKUP($CO42,参照データ!$D$69:$J$86,5,0)),"")</f>
        <v/>
      </c>
      <c r="CW42" s="79" t="str">
        <f t="shared" si="7"/>
        <v/>
      </c>
      <c r="CX42" s="78" t="str">
        <f>IF($AG42="オープン",(VLOOKUP($CO42,参照データ!$D$69:$J$86,6,0)),"")</f>
        <v/>
      </c>
      <c r="CY42" s="79" t="str">
        <f t="shared" si="30"/>
        <v/>
      </c>
      <c r="CZ42" s="38" t="str">
        <f t="shared" si="31"/>
        <v/>
      </c>
      <c r="DA42" s="37" t="str">
        <f t="shared" si="32"/>
        <v/>
      </c>
      <c r="DB42" s="79" t="str">
        <f t="shared" si="33"/>
        <v/>
      </c>
      <c r="DC42" s="857">
        <v>16</v>
      </c>
      <c r="DD42" s="87" t="s">
        <v>116</v>
      </c>
      <c r="DE42" s="88" t="str">
        <f t="shared" si="34"/>
        <v/>
      </c>
      <c r="DF42" s="859" t="e">
        <f>IF($DE42&gt;$DE43,VLOOKUP($DE42,参照データ!$D$69:$J$86,7,0),VLOOKUP($DE43,参照データ!$D$69:$J$86,7,0))</f>
        <v>#N/A</v>
      </c>
      <c r="DG42" s="350" t="str">
        <f>IFERROR(VLOOKUP($DF42,参照データ!$J$69:$M$86,4,0),"")</f>
        <v/>
      </c>
      <c r="DH42" s="523">
        <f>IF(AND($BJ42&gt;=参照データ!$C$130,$BJ42&lt;=参照データ!$C$128),1,IF(AND($BJ42&gt;=参照データ!$C$133,$BJ42&lt;=参照データ!$C$131),2,IF(AND($BJ42&gt;=参照データ!$C$139,$BJ42&lt;=参照データ!$C$137),3,IF(AND($BJ42&gt;0,$BJ42&lt;=参照データ!$C$140),4,""))))</f>
        <v>1</v>
      </c>
      <c r="DI42" s="523">
        <f t="shared" si="35"/>
        <v>7</v>
      </c>
      <c r="DJ42" s="523" t="str">
        <f t="shared" si="36"/>
        <v/>
      </c>
      <c r="DK42" s="524" t="str">
        <f>IF($AN42="","",IF(AND($AN42="○",$BK42="男子"),VLOOKUP($DI42,参照データ!$D$128:$J$145,3,FALSE),VLOOKUP($DH42,参照データ!$D$128:$J$145,3,FALSE)))</f>
        <v/>
      </c>
      <c r="DL42" s="525" t="str">
        <f t="shared" si="37"/>
        <v/>
      </c>
      <c r="DM42" s="524" t="str">
        <f>IF($AP42="","",IF(AND($AP42="○",$BK42="男子"),VLOOKUP($DI42,参照データ!$D$128:$J$145,4,FALSE),VLOOKUP($DH42,参照データ!$D$128:$J$145,4,FALSE)))</f>
        <v/>
      </c>
      <c r="DN42" s="525" t="str">
        <f t="shared" si="38"/>
        <v/>
      </c>
      <c r="DO42" s="524" t="str">
        <f>IF($AR42="","",IF(AND($AR42="○",$BK42="男子"),VLOOKUP($DI42,参照データ!$D$128:$J$145,5,FALSE),VLOOKUP($DH42,参照データ!$D$128:$J$145,5,FALSE)))</f>
        <v/>
      </c>
      <c r="DP42" s="525" t="str">
        <f t="shared" si="39"/>
        <v/>
      </c>
      <c r="DQ42" s="524" t="str">
        <f>IF($AT42="","",IF(AND($AT42="○",$BK42="男子"),VLOOKUP($DI42,参照データ!$D$128:$J$145,6,FALSE),VLOOKUP($DH42,参照データ!$D$128:$J$145,6,FALSE)))</f>
        <v/>
      </c>
      <c r="DR42" s="525" t="str">
        <f t="shared" si="40"/>
        <v/>
      </c>
      <c r="DS42" s="526" t="str">
        <f t="shared" si="41"/>
        <v/>
      </c>
      <c r="DT42" s="527" t="str">
        <f t="shared" si="42"/>
        <v/>
      </c>
      <c r="DU42" s="528" t="str">
        <f t="shared" si="43"/>
        <v/>
      </c>
      <c r="DV42" s="982">
        <v>16</v>
      </c>
      <c r="DW42" s="533" t="s">
        <v>116</v>
      </c>
      <c r="DX42" s="534" t="str">
        <f t="shared" si="92"/>
        <v/>
      </c>
      <c r="DY42" s="877" t="e">
        <f>IF($DX42&gt;$DX43,VLOOKUP($DX42,参照データ!$D$128:$K$145,7,0),VLOOKUP($DX43,参照データ!$D$128:$K$145,7,0))</f>
        <v>#N/A</v>
      </c>
      <c r="DZ42" s="692" t="str">
        <f>IFERROR(VLOOKUP($DY42,参照データ!$J$128:$N$145,5,0),"")</f>
        <v/>
      </c>
      <c r="EA42" s="526" t="str">
        <f t="shared" si="85"/>
        <v/>
      </c>
      <c r="EB42" s="527" t="str">
        <f t="shared" si="86"/>
        <v/>
      </c>
      <c r="EC42" s="528" t="str">
        <f t="shared" si="87"/>
        <v/>
      </c>
      <c r="ED42" s="982">
        <v>16</v>
      </c>
      <c r="EE42" s="533" t="s">
        <v>116</v>
      </c>
      <c r="EF42" s="533" t="str">
        <f t="shared" si="88"/>
        <v/>
      </c>
      <c r="EG42" s="534" t="str">
        <f>IF(SUM(EF42:EF43)&lt;24,"",IF(SUM(EF42:EF43)&gt;=36,3,2))</f>
        <v/>
      </c>
      <c r="EH42" s="877" t="e">
        <f>IF($EG42&gt;$EG43,VLOOKUP($EG42,参照データ!$D$128:$K$145,8,0),VLOOKUP($EG43,参照データ!$D$128:$K$145,8,0))</f>
        <v>#N/A</v>
      </c>
      <c r="EI42" s="527" t="str">
        <f>IFERROR(VLOOKUP($EH42,参照データ!$K$128:$N$145,4,0),"")</f>
        <v/>
      </c>
      <c r="EJ42" s="555" t="str">
        <f t="shared" si="13"/>
        <v/>
      </c>
      <c r="EK42" s="556" t="str">
        <f t="shared" si="44"/>
        <v/>
      </c>
      <c r="EL42" s="845">
        <v>4</v>
      </c>
      <c r="EM42" s="561" t="s">
        <v>802</v>
      </c>
      <c r="EN42" s="566" t="str">
        <f t="shared" si="45"/>
        <v/>
      </c>
      <c r="EO42" s="848" t="str">
        <f>IF(COUNTIF(EN42:EN51,"○")&gt;=1,"TT","")</f>
        <v/>
      </c>
      <c r="EP42" s="555" t="str">
        <f t="shared" si="14"/>
        <v/>
      </c>
      <c r="EQ42" s="556" t="str">
        <f t="shared" si="46"/>
        <v/>
      </c>
      <c r="ER42" s="845">
        <v>4</v>
      </c>
      <c r="ES42" s="561" t="s">
        <v>802</v>
      </c>
      <c r="ET42" s="566" t="str">
        <f t="shared" si="47"/>
        <v/>
      </c>
      <c r="EU42" s="848" t="str">
        <f>IF(COUNTIF(ET42:ET51,"○")&gt;=1,"FT","")</f>
        <v/>
      </c>
      <c r="EV42" s="38" t="str">
        <f t="shared" si="15"/>
        <v/>
      </c>
      <c r="EW42" s="552" t="str">
        <f t="shared" si="48"/>
        <v/>
      </c>
      <c r="EX42" s="833"/>
      <c r="EY42" s="568" t="s">
        <v>759</v>
      </c>
      <c r="EZ42" s="560" t="str">
        <f t="shared" si="49"/>
        <v/>
      </c>
      <c r="FA42" s="835"/>
      <c r="FB42" t="str">
        <f>IF($FC42="","",DATEDIF($BJ42,参照データ!$D$19,"Y"))</f>
        <v/>
      </c>
      <c r="FC42" s="298" t="str">
        <f>IFERROR(IF($BK42="男子",VLOOKUP($FJ42,参照データ!$D$92:$E$118,2,0),$FJ42),0)</f>
        <v/>
      </c>
      <c r="FD42" s="92" t="str">
        <f>IF($Y42="選手権",(VLOOKUP($FC42,参照データ!$D$92:$K$121,3,0)),"")</f>
        <v/>
      </c>
      <c r="FE42" s="93" t="str">
        <f t="shared" si="16"/>
        <v/>
      </c>
      <c r="FF42" s="92" t="str">
        <f>IF($AA42="選手権",(VLOOKUP($FC42,参照データ!$D$92:$K$121,4,0)),"")</f>
        <v/>
      </c>
      <c r="FG42" s="93" t="str">
        <f t="shared" si="17"/>
        <v/>
      </c>
      <c r="FH42" s="92" t="str">
        <f>IF($AC42="選手権",(VLOOKUP($FC42,参照データ!$D$92:$K$121,5,0)),"")</f>
        <v/>
      </c>
      <c r="FI42" s="93" t="str">
        <f t="shared" si="18"/>
        <v/>
      </c>
      <c r="FJ42" s="61" t="str">
        <f>IF(AND($BJ42&gt;=参照データ!$C$94,$BJ42&lt;=参照データ!$C$92),1,IF(AND($BJ42&gt;=参照データ!$C$97,$BJ42&lt;=参照データ!$C$95),2,IF(AND($BJ42&gt;=参照データ!$C$103,$BJ42&lt;=参照データ!$C$101),3,IF(AND($BJ42&gt;=参照データ!$C$109,$BJ42&lt;=参照データ!$C$107),4,IF(AND($BJ42&gt;=参照データ!$C$115,$BJ42&lt;=参照データ!$C$113),5,IF(AND($BJ42&gt;0,$BJ42&lt;=参照データ!$C$116),6,""))))))</f>
        <v/>
      </c>
      <c r="FK42" s="92" t="str">
        <f>IF($AE42="選手権",(VLOOKUP($FJ42,参照データ!$D$92:$K$121,6,0)),"")</f>
        <v/>
      </c>
      <c r="FL42" s="93" t="str">
        <f t="shared" si="19"/>
        <v/>
      </c>
      <c r="FM42" s="92" t="str">
        <f>IF($AG42="選手権",(VLOOKUP($FJ42,参照データ!$D$92:$K$121,7,0)),"")</f>
        <v/>
      </c>
      <c r="FN42" s="93" t="str">
        <f t="shared" si="50"/>
        <v/>
      </c>
      <c r="FO42" s="38" t="str">
        <f t="shared" si="51"/>
        <v/>
      </c>
      <c r="FP42" s="37" t="str">
        <f t="shared" si="52"/>
        <v/>
      </c>
      <c r="FQ42" s="93" t="str">
        <f t="shared" si="53"/>
        <v/>
      </c>
      <c r="FR42" s="979">
        <v>16</v>
      </c>
      <c r="FS42" s="101" t="s">
        <v>116</v>
      </c>
      <c r="FT42" s="102" t="str">
        <f t="shared" si="20"/>
        <v/>
      </c>
      <c r="FU42" s="980" t="e">
        <f>IF($FT42&gt;$FT43,VLOOKUP($FT42,参照データ!$D$92:$K$121,8,0),VLOOKUP($FT43,参照データ!$D$92:$K$121,8,0))</f>
        <v>#N/A</v>
      </c>
      <c r="FV42" s="356" t="str">
        <f>IFERROR(VLOOKUP($FU42,参照データ!$K$92:$O$121,5,0),"")</f>
        <v/>
      </c>
      <c r="FY42" s="40">
        <f>(COUNTIF($J42:$O42,"&lt;&gt;"))*参照データ!$E$3</f>
        <v>0</v>
      </c>
      <c r="FZ42" s="267" t="str">
        <f>IF($P42="○",参照データ!$E$4,"")</f>
        <v/>
      </c>
      <c r="GA42" s="19">
        <f>(SUM(COUNTIF($Q42:$U42,{"入門","初級"}))*参照データ!$E$9)+(SUM(COUNTIF($Q42:$U42,{"中級","上級"})*参照データ!$E$10))</f>
        <v>0</v>
      </c>
      <c r="GB42" s="19">
        <f>IFERROR(VLOOKUP($V42,参照データ!$D$9:$J$11,7,0),0)</f>
        <v>0</v>
      </c>
      <c r="GC42" s="19">
        <f>((COUNTIF($Y42:$AG42,"オープン"))*参照データ!$E$12)</f>
        <v>0</v>
      </c>
      <c r="GD42" s="19" t="str">
        <f>(IF($AI42="オープン",参照データ!$J$12,""))</f>
        <v/>
      </c>
      <c r="GE42" s="19">
        <f>(COUNTIF($AN42:$AU42,"○")*参照データ!$E$22)</f>
        <v>0</v>
      </c>
      <c r="GF42" s="19">
        <f>(COUNTIF($AV42:$BA42,"○")*参照データ!$I$22)</f>
        <v>0</v>
      </c>
      <c r="GI42" s="19">
        <f>((COUNTIF($Y42:$AG42,"選手権"))*参照データ!$E$13)</f>
        <v>0</v>
      </c>
      <c r="GJ42" s="19" t="str">
        <f>(IF($AI42="選手権",参照データ!$J$13,""))</f>
        <v/>
      </c>
      <c r="GK42" s="106">
        <f t="array" ref="GK42">SUM(IF(ISERROR(FY42:GJ42),0,(FY42:GJ42)))</f>
        <v>0</v>
      </c>
      <c r="GL42" s="19"/>
      <c r="GM42" s="19">
        <f t="shared" si="54"/>
        <v>0</v>
      </c>
      <c r="GN42" s="19">
        <f t="shared" si="55"/>
        <v>0</v>
      </c>
      <c r="GO42" s="19">
        <f t="shared" si="56"/>
        <v>0</v>
      </c>
      <c r="GP42" s="19">
        <f t="shared" si="21"/>
        <v>0</v>
      </c>
      <c r="GQ42" s="19">
        <f t="shared" si="57"/>
        <v>0</v>
      </c>
      <c r="GR42" s="19">
        <f t="shared" si="58"/>
        <v>0</v>
      </c>
      <c r="GS42" s="19">
        <f t="shared" si="59"/>
        <v>0</v>
      </c>
      <c r="GT42" s="19">
        <f t="shared" si="60"/>
        <v>0</v>
      </c>
      <c r="GU42" s="19">
        <f t="shared" si="61"/>
        <v>0</v>
      </c>
      <c r="GV42" t="str">
        <f t="shared" si="22"/>
        <v/>
      </c>
      <c r="GW42" t="str">
        <f t="shared" si="62"/>
        <v/>
      </c>
      <c r="GX42" t="str">
        <f t="shared" si="23"/>
        <v/>
      </c>
      <c r="GY42" t="str">
        <f t="shared" si="63"/>
        <v/>
      </c>
      <c r="GZ42" t="str">
        <f t="shared" si="24"/>
        <v/>
      </c>
    </row>
    <row r="43" spans="1:208" ht="18.75" customHeight="1" x14ac:dyDescent="0.15">
      <c r="A43">
        <v>32</v>
      </c>
      <c r="B43" s="15" t="str">
        <f>IF(D43="","",IF(D43="重複","",COUNTIF(B$12:$B42,"&gt;0")+1))</f>
        <v/>
      </c>
      <c r="C43" s="713"/>
      <c r="D43" s="185"/>
      <c r="E43" s="185"/>
      <c r="F43" s="36"/>
      <c r="G43" s="47"/>
      <c r="H43" s="402">
        <f t="shared" si="2"/>
        <v>0</v>
      </c>
      <c r="I43" s="201" t="str">
        <f>IF($BJ43=0,"",DATEDIF($BJ43,参照データ!$D$16,"Y"))</f>
        <v/>
      </c>
      <c r="J43" s="41"/>
      <c r="K43" s="41"/>
      <c r="L43" s="41"/>
      <c r="M43" s="41"/>
      <c r="N43" s="41"/>
      <c r="O43" s="49"/>
      <c r="P43" s="395"/>
      <c r="Q43" s="51"/>
      <c r="R43" s="289"/>
      <c r="S43" s="289"/>
      <c r="T43" s="289"/>
      <c r="U43" s="290"/>
      <c r="V43" s="293"/>
      <c r="W43" s="295"/>
      <c r="Y43" s="446"/>
      <c r="Z43" s="396" t="str">
        <f>IF($Y43="オープン",VLOOKUP($CO43,参照データ!$D$69:$M$86,9,0),IF($Y43="選手権",VLOOKUP($FC43,参照データ!$D$92:$O$121,10,0),""))</f>
        <v/>
      </c>
      <c r="AA43" s="446"/>
      <c r="AB43" s="666" t="str">
        <f>IF($AA43="オープン",VLOOKUP($CO43,参照データ!$D$69:$M$86,10,0),IF($AA43="選手権",VLOOKUP($FC43,参照データ!$D$92:$O$121,11,0),""))</f>
        <v/>
      </c>
      <c r="AC43" s="669"/>
      <c r="AD43" s="396" t="str">
        <f>IF($AC43="オープン",VLOOKUP($CO43,参照データ!$D$69:$M$86,10,0),IF($AC43="選手権",VLOOKUP($FC43,参照データ!$D$92:$O$121,11,0),""))</f>
        <v/>
      </c>
      <c r="AE43" s="446"/>
      <c r="AF43" s="396" t="str">
        <f>IF($AE43="オープン",VLOOKUP($CO43,参照データ!$D$69:$M$86,10,0),IF($AE43="選手権",VLOOKUP($FJ43,参照データ!$D$92:$O$121,12,0),""))</f>
        <v/>
      </c>
      <c r="AG43" s="446"/>
      <c r="AH43" s="396" t="str">
        <f>IF($AG43="オープン",VLOOKUP($CO43,参照データ!$D$69:$M$86,10,0),IF($AG43="選手権",VLOOKUP($FJ43,参照データ!$D$92:$O$121,12,0),""))</f>
        <v/>
      </c>
      <c r="AI43" s="446"/>
      <c r="AJ43" s="449"/>
      <c r="AK43" s="396" t="str">
        <f t="shared" si="3"/>
        <v/>
      </c>
      <c r="AL43" s="587"/>
      <c r="AM43" s="588" t="str">
        <f>IF($BJ43=0,"",DATEDIF($BJ43,参照データ!$D$17,"Y"))</f>
        <v/>
      </c>
      <c r="AN43" s="450"/>
      <c r="AO43" s="591" t="str">
        <f>IF(AN43="","",IF($BK43="男子",VLOOKUP($DI43,参照データ!$D$128:$M$145,10,FALSE),VLOOKUP($DH43,参照データ!$D$128:$M$145,10,FALSE)))</f>
        <v/>
      </c>
      <c r="AP43" s="450"/>
      <c r="AQ43" s="591" t="str">
        <f>IF(AP43="","",IF($BK43="男子",VLOOKUP($DI43,参照データ!$D$128:$M$145,10,FALSE),VLOOKUP($DH43,参照データ!$D$128:$M$145,10,FALSE)))</f>
        <v/>
      </c>
      <c r="AR43" s="450"/>
      <c r="AS43" s="591" t="str">
        <f>IF(AR43="","",IF($BK43="男子",VLOOKUP($DI43,参照データ!$D$128:$M$145,10,FALSE),VLOOKUP($DH43,参照データ!$D$128:$M$145,10,FALSE)))</f>
        <v/>
      </c>
      <c r="AT43" s="450"/>
      <c r="AU43" s="591" t="str">
        <f>IF(AT43="","",IF($BK43="男子",VLOOKUP($DI43,参照データ!$D$128:$M$145,10,FALSE),VLOOKUP($DH43,参照データ!$D$128:$M$145,10,FALSE)))</f>
        <v/>
      </c>
      <c r="AV43" s="448"/>
      <c r="AW43" s="448"/>
      <c r="AX43" s="585" t="str">
        <f t="shared" si="25"/>
        <v/>
      </c>
      <c r="AY43" s="448"/>
      <c r="AZ43" s="448"/>
      <c r="BA43" s="585" t="str">
        <f t="shared" si="83"/>
        <v/>
      </c>
      <c r="BB43" s="677"/>
      <c r="BC43" s="724"/>
      <c r="BD43" s="640"/>
      <c r="BE43" s="482"/>
      <c r="BF43" s="365"/>
      <c r="BG43" s="366"/>
      <c r="BJ43">
        <f t="shared" si="75"/>
        <v>0</v>
      </c>
      <c r="BK43" t="str">
        <f t="shared" si="65"/>
        <v/>
      </c>
      <c r="BL43" s="146"/>
      <c r="BO43" s="61" t="str">
        <f>IF($BJ43=0,"",IF(AND($I43&gt;=6,$I43&lt;=19),VLOOKUP($I43,参照データ!$B$28:$C$41,2,0),IF($I43&lt;6,6,19)))</f>
        <v/>
      </c>
      <c r="BP43" s="178" t="str">
        <f>IF($J43=$BI$12,VLOOKUP($BO43,参照データ!$C$28:$I$41,2,0),"")</f>
        <v/>
      </c>
      <c r="BQ43" s="169" t="str">
        <f>IF($K43=$BI$12,VLOOKUP($BO43,参照データ!$C$28:$I$41,3,0),"")</f>
        <v/>
      </c>
      <c r="BR43" s="169" t="str">
        <f>IF($L43=$BI$12,VLOOKUP($BO43,参照データ!$C$28:$I$41,4,0),"")</f>
        <v/>
      </c>
      <c r="BS43" s="169" t="str">
        <f>IF($M43=$BI$12,VLOOKUP($BO43,参照データ!$C$28:$I$41,5,0),"")</f>
        <v/>
      </c>
      <c r="BT43" s="169" t="str">
        <f>IF($N43=$BI$12,VLOOKUP($BO43,参照データ!$C$28:$I$41,6,0),"")</f>
        <v/>
      </c>
      <c r="BU43" s="179" t="str">
        <f>IF($O43=$BI$12,VLOOKUP($BO43,参照データ!$C$28:$I$41,7,0),"")</f>
        <v/>
      </c>
      <c r="BV43" s="178" t="str">
        <f>IF($J43=$BI$13,VLOOKUP($BO43,参照データ!$C$28:$I$41,2,0),"")</f>
        <v/>
      </c>
      <c r="BW43" s="169" t="str">
        <f>IF($K43=$BI$13,VLOOKUP($BO43,参照データ!$C$28:$I$41,3,0),"")</f>
        <v/>
      </c>
      <c r="BX43" s="169" t="str">
        <f>IF($L43=$BI$13,VLOOKUP($BO43,参照データ!$C$28:$I$41,4,0),"")</f>
        <v/>
      </c>
      <c r="BY43" s="169" t="str">
        <f>IF($M43=$BI$13,VLOOKUP($BO43,参照データ!$C$28:$I$41,5,0),"")</f>
        <v/>
      </c>
      <c r="BZ43" s="169" t="str">
        <f>IF($N43=$BI$13,VLOOKUP($BO43,参照データ!$C$28:$I$41,6,0),"")</f>
        <v/>
      </c>
      <c r="CA43" s="179" t="str">
        <f>IF($O43=$BI$13,VLOOKUP($BO43,参照データ!$C$28:$I$41,7,0),"")</f>
        <v/>
      </c>
      <c r="CB43" s="271" t="str">
        <f t="shared" si="26"/>
        <v/>
      </c>
      <c r="CC43" s="177" t="str">
        <f>IF($Q43="入門",VLOOKUP($BO43,参照データ!$C$47:$U$60,2,0),IF($Q43="初級",VLOOKUP($BO43,参照データ!$C$47:$U$60,3,0),IF($Q43="中級",VLOOKUP($BO43,参照データ!$C$47:$U$60,4,0),IF($Q43="上級",VLOOKUP($BO43,参照データ!$C$47:$U$60,5,0),""))))</f>
        <v/>
      </c>
      <c r="CD43" s="177" t="str">
        <f>IF($R43="初級",VLOOKUP($BO43,参照データ!$C$47:$U$60,6,0),IF($R43="中級",VLOOKUP($BO43,参照データ!$C$47:$U$60,7,0),IF($R43="上級",VLOOKUP($BO43,参照データ!$C$47:$U$60,8,0),"")))</f>
        <v/>
      </c>
      <c r="CE43" s="177" t="str">
        <f>IF($S43="初級",VLOOKUP($BO43,参照データ!$C$47:$U$60,9,0),IF($S43="上級",VLOOKUP($BO43,参照データ!$C$47:$U$60,10,0),""))</f>
        <v/>
      </c>
      <c r="CF43" s="177" t="str">
        <f>IF($T43="初級",VLOOKUP($BO43,参照データ!$C$47:$U$60,11,0),IF($T43="中級",VLOOKUP($BO43,参照データ!$C$47:$U$60,12,0),IF($T43="上級",VLOOKUP($BO43,参照データ!$C$47:$U$60,13,0),"")))</f>
        <v/>
      </c>
      <c r="CG43" s="177" t="str">
        <f>IF($U43="初級",VLOOKUP($BO43,参照データ!$C$47:$U$60,14,0),IF($U43="中級",VLOOKUP($BO43,参照データ!$C$47:$U$60,15,0),IF($U43="上級",VLOOKUP($BO43,参照データ!$C$47:$U$60,16,0),"")))</f>
        <v/>
      </c>
      <c r="CH43" s="55" t="str">
        <f t="shared" si="5"/>
        <v/>
      </c>
      <c r="CI43" s="55" t="str">
        <f>IF($V43="初級",VLOOKUP($BO43,参照データ!$C$47:$U$60,17,0),IF($V43="中級",VLOOKUP($BO43,参照データ!$C$47:$U$60,18,0),IF($V43="上級",VLOOKUP($BO43,参照データ!$C$47:$U$60,19,0),"")))</f>
        <v/>
      </c>
      <c r="CJ43" s="868"/>
      <c r="CK43" s="73" t="s">
        <v>267</v>
      </c>
      <c r="CL43" s="150" t="str">
        <f t="shared" si="6"/>
        <v/>
      </c>
      <c r="CM43" s="872"/>
      <c r="CO43" s="61">
        <f>IF(AND($BJ43&gt;=参照データ!$C$71,$BJ43&lt;=参照データ!$C$69),1,IF(AND($BJ43&gt;=参照データ!$C$74,$BJ43&lt;=参照データ!$C$72),2,IF(AND($BJ43&gt;=参照データ!$C$77,$BJ43&lt;=参照データ!$C$75),3,IF(AND($BJ43&gt;=参照データ!$C$80,$BJ43&lt;=参照データ!$C$78),4,IF(AND($BJ43&gt;=参照データ!$C$83,$BJ43&lt;=参照データ!$C$81),5,IF(AND($BJ43&gt;0,$BJ43&lt;=参照データ!$C$84),6,""))))))</f>
        <v>5</v>
      </c>
      <c r="CP43" s="160" t="str">
        <f>IF($Y43="オープン",(VLOOKUP($CO43,参照データ!$D$69:$J$86,2,0)),"")</f>
        <v/>
      </c>
      <c r="CQ43" s="79" t="str">
        <f t="shared" si="27"/>
        <v/>
      </c>
      <c r="CR43" s="78" t="str">
        <f>IF($AA43="オープン",(VLOOKUP($CO43,参照データ!$D$69:$J$86,3,0)),"")</f>
        <v/>
      </c>
      <c r="CS43" s="79" t="str">
        <f t="shared" si="28"/>
        <v/>
      </c>
      <c r="CT43" s="78" t="str">
        <f>IF($AC43="オープン",(VLOOKUP($CO43,参照データ!$D$69:$J$86,4,0)),"")</f>
        <v/>
      </c>
      <c r="CU43" s="79" t="str">
        <f t="shared" si="29"/>
        <v/>
      </c>
      <c r="CV43" s="78" t="str">
        <f>IF($AE43="オープン",(VLOOKUP($CO43,参照データ!$D$69:$J$86,5,0)),"")</f>
        <v/>
      </c>
      <c r="CW43" s="79" t="str">
        <f t="shared" si="7"/>
        <v/>
      </c>
      <c r="CX43" s="78" t="str">
        <f>IF($AG43="オープン",(VLOOKUP($CO43,参照データ!$D$69:$J$86,6,0)),"")</f>
        <v/>
      </c>
      <c r="CY43" s="79" t="str">
        <f t="shared" si="30"/>
        <v/>
      </c>
      <c r="CZ43" s="38" t="str">
        <f t="shared" si="31"/>
        <v/>
      </c>
      <c r="DA43" s="37" t="str">
        <f t="shared" si="32"/>
        <v/>
      </c>
      <c r="DB43" s="79" t="str">
        <f t="shared" si="33"/>
        <v/>
      </c>
      <c r="DC43" s="858"/>
      <c r="DD43" s="85" t="s">
        <v>117</v>
      </c>
      <c r="DE43" s="86" t="str">
        <f t="shared" si="34"/>
        <v/>
      </c>
      <c r="DF43" s="860"/>
      <c r="DG43" s="350" t="str">
        <f t="shared" ref="DG43" si="111">$DG42</f>
        <v/>
      </c>
      <c r="DH43" s="523">
        <f>IF(AND($BJ43&gt;=参照データ!$C$130,$BJ43&lt;=参照データ!$C$128),1,IF(AND($BJ43&gt;=参照データ!$C$133,$BJ43&lt;=参照データ!$C$131),2,IF(AND($BJ43&gt;=参照データ!$C$139,$BJ43&lt;=参照データ!$C$137),3,IF(AND($BJ43&gt;0,$BJ43&lt;=参照データ!$C$140),4,""))))</f>
        <v>1</v>
      </c>
      <c r="DI43" s="523">
        <f t="shared" si="35"/>
        <v>7</v>
      </c>
      <c r="DJ43" s="523" t="str">
        <f t="shared" si="36"/>
        <v/>
      </c>
      <c r="DK43" s="524" t="str">
        <f>IF($AN43="","",IF(AND($AN43="○",$BK43="男子"),VLOOKUP($DI43,参照データ!$D$128:$J$145,3,FALSE),VLOOKUP($DH43,参照データ!$D$128:$J$145,3,FALSE)))</f>
        <v/>
      </c>
      <c r="DL43" s="525" t="str">
        <f t="shared" si="37"/>
        <v/>
      </c>
      <c r="DM43" s="524" t="str">
        <f>IF($AP43="","",IF(AND($AP43="○",$BK43="男子"),VLOOKUP($DI43,参照データ!$D$128:$J$145,4,FALSE),VLOOKUP($DH43,参照データ!$D$128:$J$145,4,FALSE)))</f>
        <v/>
      </c>
      <c r="DN43" s="525" t="str">
        <f t="shared" si="38"/>
        <v/>
      </c>
      <c r="DO43" s="524" t="str">
        <f>IF($AR43="","",IF(AND($AR43="○",$BK43="男子"),VLOOKUP($DI43,参照データ!$D$128:$J$145,5,FALSE),VLOOKUP($DH43,参照データ!$D$128:$J$145,5,FALSE)))</f>
        <v/>
      </c>
      <c r="DP43" s="525" t="str">
        <f t="shared" si="39"/>
        <v/>
      </c>
      <c r="DQ43" s="524" t="str">
        <f>IF($AT43="","",IF(AND($AT43="○",$BK43="男子"),VLOOKUP($DI43,参照データ!$D$128:$J$145,6,FALSE),VLOOKUP($DH43,参照データ!$D$128:$J$145,6,FALSE)))</f>
        <v/>
      </c>
      <c r="DR43" s="525" t="str">
        <f t="shared" si="40"/>
        <v/>
      </c>
      <c r="DS43" s="526" t="str">
        <f t="shared" si="41"/>
        <v/>
      </c>
      <c r="DT43" s="527" t="str">
        <f t="shared" si="42"/>
        <v/>
      </c>
      <c r="DU43" s="528" t="str">
        <f t="shared" si="43"/>
        <v/>
      </c>
      <c r="DV43" s="983"/>
      <c r="DW43" s="531" t="s">
        <v>117</v>
      </c>
      <c r="DX43" s="532" t="str">
        <f t="shared" si="92"/>
        <v/>
      </c>
      <c r="DY43" s="994"/>
      <c r="DZ43" s="692" t="str">
        <f>$DZ42</f>
        <v/>
      </c>
      <c r="EA43" s="526" t="str">
        <f t="shared" si="85"/>
        <v/>
      </c>
      <c r="EB43" s="527" t="str">
        <f t="shared" si="86"/>
        <v/>
      </c>
      <c r="EC43" s="528" t="str">
        <f t="shared" si="87"/>
        <v/>
      </c>
      <c r="ED43" s="983"/>
      <c r="EE43" s="531" t="s">
        <v>117</v>
      </c>
      <c r="EF43" s="531" t="str">
        <f t="shared" si="88"/>
        <v/>
      </c>
      <c r="EG43" s="532" t="str">
        <f>IF(SUM(EF42:EF43)&lt;24,"",IF(SUM(EF42:EF43)&gt;=36,3,2))</f>
        <v/>
      </c>
      <c r="EH43" s="994"/>
      <c r="EI43" s="527" t="str">
        <f>$EI42</f>
        <v/>
      </c>
      <c r="EJ43" s="555" t="str">
        <f t="shared" si="13"/>
        <v/>
      </c>
      <c r="EK43" s="556" t="str">
        <f t="shared" si="44"/>
        <v/>
      </c>
      <c r="EL43" s="846"/>
      <c r="EM43" s="561" t="s">
        <v>803</v>
      </c>
      <c r="EN43" s="562" t="str">
        <f t="shared" si="45"/>
        <v/>
      </c>
      <c r="EO43" s="849"/>
      <c r="EP43" s="555" t="str">
        <f t="shared" si="14"/>
        <v/>
      </c>
      <c r="EQ43" s="556" t="str">
        <f t="shared" si="46"/>
        <v/>
      </c>
      <c r="ER43" s="846"/>
      <c r="ES43" s="561" t="s">
        <v>803</v>
      </c>
      <c r="ET43" s="562" t="str">
        <f t="shared" si="47"/>
        <v/>
      </c>
      <c r="EU43" s="849"/>
      <c r="EV43" s="38" t="str">
        <f t="shared" si="15"/>
        <v/>
      </c>
      <c r="EW43" s="552" t="str">
        <f t="shared" si="48"/>
        <v/>
      </c>
      <c r="EX43" s="833"/>
      <c r="EY43" s="568" t="s">
        <v>761</v>
      </c>
      <c r="EZ43" s="560" t="str">
        <f t="shared" si="49"/>
        <v/>
      </c>
      <c r="FA43" s="835"/>
      <c r="FB43" t="str">
        <f>IF($FC43="","",DATEDIF($BJ43,参照データ!$D$19,"Y"))</f>
        <v/>
      </c>
      <c r="FC43" s="298" t="str">
        <f>IFERROR(IF($BK43="男子",VLOOKUP($FJ43,参照データ!$D$92:$E$118,2,0),$FJ43),0)</f>
        <v/>
      </c>
      <c r="FD43" s="92" t="str">
        <f>IF($Y43="選手権",(VLOOKUP($FC43,参照データ!$D$92:$K$121,3,0)),"")</f>
        <v/>
      </c>
      <c r="FE43" s="93" t="str">
        <f t="shared" si="16"/>
        <v/>
      </c>
      <c r="FF43" s="92" t="str">
        <f>IF($AA43="選手権",(VLOOKUP($FC43,参照データ!$D$92:$K$121,4,0)),"")</f>
        <v/>
      </c>
      <c r="FG43" s="93" t="str">
        <f t="shared" si="17"/>
        <v/>
      </c>
      <c r="FH43" s="92" t="str">
        <f>IF($AC43="選手権",(VLOOKUP($FC43,参照データ!$D$92:$K$121,5,0)),"")</f>
        <v/>
      </c>
      <c r="FI43" s="93" t="str">
        <f t="shared" si="18"/>
        <v/>
      </c>
      <c r="FJ43" s="61" t="str">
        <f>IF(AND($BJ43&gt;=参照データ!$C$94,$BJ43&lt;=参照データ!$C$92),1,IF(AND($BJ43&gt;=参照データ!$C$97,$BJ43&lt;=参照データ!$C$95),2,IF(AND($BJ43&gt;=参照データ!$C$103,$BJ43&lt;=参照データ!$C$101),3,IF(AND($BJ43&gt;=参照データ!$C$109,$BJ43&lt;=参照データ!$C$107),4,IF(AND($BJ43&gt;=参照データ!$C$115,$BJ43&lt;=参照データ!$C$113),5,IF(AND($BJ43&gt;0,$BJ43&lt;=参照データ!$C$116),6,""))))))</f>
        <v/>
      </c>
      <c r="FK43" s="92" t="str">
        <f>IF($AE43="選手権",(VLOOKUP($FJ43,参照データ!$D$92:$K$121,6,0)),"")</f>
        <v/>
      </c>
      <c r="FL43" s="93" t="str">
        <f t="shared" si="19"/>
        <v/>
      </c>
      <c r="FM43" s="92" t="str">
        <f>IF($AG43="選手権",(VLOOKUP($FJ43,参照データ!$D$92:$K$121,7,0)),"")</f>
        <v/>
      </c>
      <c r="FN43" s="93" t="str">
        <f t="shared" si="50"/>
        <v/>
      </c>
      <c r="FO43" s="38" t="str">
        <f t="shared" si="51"/>
        <v/>
      </c>
      <c r="FP43" s="37" t="str">
        <f t="shared" si="52"/>
        <v/>
      </c>
      <c r="FQ43" s="93" t="str">
        <f t="shared" si="53"/>
        <v/>
      </c>
      <c r="FR43" s="976"/>
      <c r="FS43" s="99" t="s">
        <v>117</v>
      </c>
      <c r="FT43" s="100" t="str">
        <f t="shared" si="20"/>
        <v/>
      </c>
      <c r="FU43" s="978"/>
      <c r="FV43" s="356" t="str">
        <f t="shared" si="99"/>
        <v/>
      </c>
      <c r="FY43" s="40">
        <f>(COUNTIF($J43:$O43,"&lt;&gt;"))*参照データ!$E$3</f>
        <v>0</v>
      </c>
      <c r="FZ43" s="267" t="str">
        <f>IF($P43="○",参照データ!$E$4,"")</f>
        <v/>
      </c>
      <c r="GA43" s="19">
        <f>(SUM(COUNTIF($Q43:$U43,{"入門","初級"}))*参照データ!$E$9)+(SUM(COUNTIF($Q43:$U43,{"中級","上級"})*参照データ!$E$10))</f>
        <v>0</v>
      </c>
      <c r="GB43" s="19">
        <f>IFERROR(VLOOKUP($V43,参照データ!$D$9:$J$11,7,0),0)</f>
        <v>0</v>
      </c>
      <c r="GC43" s="19">
        <f>((COUNTIF($Y43:$AG43,"オープン"))*参照データ!$E$12)</f>
        <v>0</v>
      </c>
      <c r="GD43" s="19" t="str">
        <f>(IF($AI43="オープン",参照データ!$J$12,""))</f>
        <v/>
      </c>
      <c r="GE43" s="19">
        <f>(COUNTIF($AN43:$AU43,"○")*参照データ!$E$22)</f>
        <v>0</v>
      </c>
      <c r="GF43" s="19">
        <f>(COUNTIF($AV43:$BA43,"○")*参照データ!$I$22)</f>
        <v>0</v>
      </c>
      <c r="GI43" s="19">
        <f>((COUNTIF($Y43:$AG43,"選手権"))*参照データ!$E$13)</f>
        <v>0</v>
      </c>
      <c r="GJ43" s="19" t="str">
        <f>(IF($AI43="選手権",参照データ!$J$13,""))</f>
        <v/>
      </c>
      <c r="GK43" s="106">
        <f t="array" ref="GK43">SUM(IF(ISERROR(FY43:GJ43),0,(FY43:GJ43)))</f>
        <v>0</v>
      </c>
      <c r="GL43" s="19"/>
      <c r="GM43" s="19">
        <f t="shared" si="54"/>
        <v>0</v>
      </c>
      <c r="GN43" s="19">
        <f t="shared" si="55"/>
        <v>0</v>
      </c>
      <c r="GO43" s="19">
        <f t="shared" si="56"/>
        <v>0</v>
      </c>
      <c r="GP43" s="19">
        <f t="shared" si="21"/>
        <v>0</v>
      </c>
      <c r="GQ43" s="19">
        <f t="shared" si="57"/>
        <v>0</v>
      </c>
      <c r="GR43" s="19">
        <f t="shared" si="58"/>
        <v>0</v>
      </c>
      <c r="GS43" s="19">
        <f t="shared" si="59"/>
        <v>0</v>
      </c>
      <c r="GT43" s="19">
        <f t="shared" si="60"/>
        <v>0</v>
      </c>
      <c r="GU43" s="19">
        <f t="shared" si="61"/>
        <v>0</v>
      </c>
      <c r="GV43" t="str">
        <f t="shared" si="22"/>
        <v/>
      </c>
      <c r="GW43" t="str">
        <f t="shared" si="62"/>
        <v/>
      </c>
      <c r="GX43" t="str">
        <f t="shared" si="23"/>
        <v/>
      </c>
      <c r="GY43" t="str">
        <f t="shared" si="63"/>
        <v/>
      </c>
      <c r="GZ43" t="str">
        <f t="shared" si="24"/>
        <v/>
      </c>
    </row>
    <row r="44" spans="1:208" ht="18.75" customHeight="1" x14ac:dyDescent="0.15">
      <c r="A44">
        <v>33</v>
      </c>
      <c r="B44" s="15" t="str">
        <f>IF(D44="","",IF(D44="重複","",COUNTIF(B$12:$B43,"&gt;0")+1))</f>
        <v/>
      </c>
      <c r="C44" s="713"/>
      <c r="D44" s="185"/>
      <c r="E44" s="185"/>
      <c r="F44" s="36"/>
      <c r="G44" s="47"/>
      <c r="H44" s="402">
        <f t="shared" ref="H44:H71" si="112">GK44</f>
        <v>0</v>
      </c>
      <c r="I44" s="201" t="str">
        <f>IF($BJ44=0,"",DATEDIF($BJ44,参照データ!$D$16,"Y"))</f>
        <v/>
      </c>
      <c r="J44" s="41"/>
      <c r="K44" s="41"/>
      <c r="L44" s="41"/>
      <c r="M44" s="41"/>
      <c r="N44" s="41"/>
      <c r="O44" s="49"/>
      <c r="P44" s="395"/>
      <c r="Q44" s="51"/>
      <c r="R44" s="289"/>
      <c r="S44" s="289"/>
      <c r="T44" s="289"/>
      <c r="U44" s="290"/>
      <c r="V44" s="293"/>
      <c r="W44" s="295"/>
      <c r="Y44" s="446"/>
      <c r="Z44" s="396" t="str">
        <f>IF($Y44="オープン",VLOOKUP($CO44,参照データ!$D$69:$M$86,9,0),IF($Y44="選手権",VLOOKUP($FC44,参照データ!$D$92:$O$121,10,0),""))</f>
        <v/>
      </c>
      <c r="AA44" s="446"/>
      <c r="AB44" s="666" t="str">
        <f>IF($AA44="オープン",VLOOKUP($CO44,参照データ!$D$69:$M$86,10,0),IF($AA44="選手権",VLOOKUP($FC44,参照データ!$D$92:$O$121,11,0),""))</f>
        <v/>
      </c>
      <c r="AC44" s="669"/>
      <c r="AD44" s="396" t="str">
        <f>IF($AC44="オープン",VLOOKUP($CO44,参照データ!$D$69:$M$86,10,0),IF($AC44="選手権",VLOOKUP($FC44,参照データ!$D$92:$O$121,11,0),""))</f>
        <v/>
      </c>
      <c r="AE44" s="446"/>
      <c r="AF44" s="396" t="str">
        <f>IF($AE44="オープン",VLOOKUP($CO44,参照データ!$D$69:$M$86,10,0),IF($AE44="選手権",VLOOKUP($FJ44,参照データ!$D$92:$O$121,12,0),""))</f>
        <v/>
      </c>
      <c r="AG44" s="446"/>
      <c r="AH44" s="396" t="str">
        <f>IF($AG44="オープン",VLOOKUP($CO44,参照データ!$D$69:$M$86,10,0),IF($AG44="選手権",VLOOKUP($FJ44,参照データ!$D$92:$O$121,12,0),""))</f>
        <v/>
      </c>
      <c r="AI44" s="446"/>
      <c r="AJ44" s="449"/>
      <c r="AK44" s="396" t="str">
        <f t="shared" ref="AK44:AK71" si="113">IF($AI44="オープン",VLOOKUP($AJ44,$CZ:$DA,2,0),IF($AI44="選手権",VLOOKUP($AJ44,$FO:$FP,2,0),""))</f>
        <v/>
      </c>
      <c r="AL44" s="587"/>
      <c r="AM44" s="588" t="str">
        <f>IF($BJ44=0,"",DATEDIF($BJ44,参照データ!$D$17,"Y"))</f>
        <v/>
      </c>
      <c r="AN44" s="450"/>
      <c r="AO44" s="591" t="str">
        <f>IF(AN44="","",IF($BK44="男子",VLOOKUP($DI44,参照データ!$D$128:$M$145,10,FALSE),VLOOKUP($DH44,参照データ!$D$128:$M$145,10,FALSE)))</f>
        <v/>
      </c>
      <c r="AP44" s="450"/>
      <c r="AQ44" s="591" t="str">
        <f>IF(AP44="","",IF($BK44="男子",VLOOKUP($DI44,参照データ!$D$128:$M$145,10,FALSE),VLOOKUP($DH44,参照データ!$D$128:$M$145,10,FALSE)))</f>
        <v/>
      </c>
      <c r="AR44" s="450"/>
      <c r="AS44" s="591" t="str">
        <f>IF(AR44="","",IF($BK44="男子",VLOOKUP($DI44,参照データ!$D$128:$M$145,10,FALSE),VLOOKUP($DH44,参照データ!$D$128:$M$145,10,FALSE)))</f>
        <v/>
      </c>
      <c r="AT44" s="450"/>
      <c r="AU44" s="591" t="str">
        <f>IF(AT44="","",IF($BK44="男子",VLOOKUP($DI44,参照データ!$D$128:$M$145,10,FALSE),VLOOKUP($DH44,参照データ!$D$128:$M$145,10,FALSE)))</f>
        <v/>
      </c>
      <c r="AV44" s="448"/>
      <c r="AW44" s="448"/>
      <c r="AX44" s="585" t="str">
        <f t="shared" si="25"/>
        <v/>
      </c>
      <c r="AY44" s="448"/>
      <c r="AZ44" s="448"/>
      <c r="BA44" s="585" t="str">
        <f t="shared" si="83"/>
        <v/>
      </c>
      <c r="BB44" s="677"/>
      <c r="BC44" s="724"/>
      <c r="BD44" s="640"/>
      <c r="BE44" s="482"/>
      <c r="BF44" s="365"/>
      <c r="BG44" s="366"/>
      <c r="BJ44">
        <f t="shared" si="75"/>
        <v>0</v>
      </c>
      <c r="BK44" t="str">
        <f t="shared" si="65"/>
        <v/>
      </c>
      <c r="BL44" s="146"/>
      <c r="BO44" s="61" t="str">
        <f>IF($BJ44=0,"",IF(AND($I44&gt;=6,$I44&lt;=19),VLOOKUP($I44,参照データ!$B$28:$C$41,2,0),IF($I44&lt;6,6,19)))</f>
        <v/>
      </c>
      <c r="BP44" s="178" t="str">
        <f>IF($J44=$BI$12,VLOOKUP($BO44,参照データ!$C$28:$I$41,2,0),"")</f>
        <v/>
      </c>
      <c r="BQ44" s="169" t="str">
        <f>IF($K44=$BI$12,VLOOKUP($BO44,参照データ!$C$28:$I$41,3,0),"")</f>
        <v/>
      </c>
      <c r="BR44" s="169" t="str">
        <f>IF($L44=$BI$12,VLOOKUP($BO44,参照データ!$C$28:$I$41,4,0),"")</f>
        <v/>
      </c>
      <c r="BS44" s="169" t="str">
        <f>IF($M44=$BI$12,VLOOKUP($BO44,参照データ!$C$28:$I$41,5,0),"")</f>
        <v/>
      </c>
      <c r="BT44" s="169" t="str">
        <f>IF($N44=$BI$12,VLOOKUP($BO44,参照データ!$C$28:$I$41,6,0),"")</f>
        <v/>
      </c>
      <c r="BU44" s="179" t="str">
        <f>IF($O44=$BI$12,VLOOKUP($BO44,参照データ!$C$28:$I$41,7,0),"")</f>
        <v/>
      </c>
      <c r="BV44" s="178" t="str">
        <f>IF($J44=$BI$13,VLOOKUP($BO44,参照データ!$C$28:$I$41,2,0),"")</f>
        <v/>
      </c>
      <c r="BW44" s="169" t="str">
        <f>IF($K44=$BI$13,VLOOKUP($BO44,参照データ!$C$28:$I$41,3,0),"")</f>
        <v/>
      </c>
      <c r="BX44" s="169" t="str">
        <f>IF($L44=$BI$13,VLOOKUP($BO44,参照データ!$C$28:$I$41,4,0),"")</f>
        <v/>
      </c>
      <c r="BY44" s="169" t="str">
        <f>IF($M44=$BI$13,VLOOKUP($BO44,参照データ!$C$28:$I$41,5,0),"")</f>
        <v/>
      </c>
      <c r="BZ44" s="169" t="str">
        <f>IF($N44=$BI$13,VLOOKUP($BO44,参照データ!$C$28:$I$41,6,0),"")</f>
        <v/>
      </c>
      <c r="CA44" s="179" t="str">
        <f>IF($O44=$BI$13,VLOOKUP($BO44,参照データ!$C$28:$I$41,7,0),"")</f>
        <v/>
      </c>
      <c r="CB44" s="271" t="str">
        <f t="shared" si="26"/>
        <v/>
      </c>
      <c r="CC44" s="177" t="str">
        <f>IF($Q44="入門",VLOOKUP($BO44,参照データ!$C$47:$U$60,2,0),IF($Q44="初級",VLOOKUP($BO44,参照データ!$C$47:$U$60,3,0),IF($Q44="中級",VLOOKUP($BO44,参照データ!$C$47:$U$60,4,0),IF($Q44="上級",VLOOKUP($BO44,参照データ!$C$47:$U$60,5,0),""))))</f>
        <v/>
      </c>
      <c r="CD44" s="177" t="str">
        <f>IF($R44="初級",VLOOKUP($BO44,参照データ!$C$47:$U$60,6,0),IF($R44="中級",VLOOKUP($BO44,参照データ!$C$47:$U$60,7,0),IF($R44="上級",VLOOKUP($BO44,参照データ!$C$47:$U$60,8,0),"")))</f>
        <v/>
      </c>
      <c r="CE44" s="177" t="str">
        <f>IF($S44="初級",VLOOKUP($BO44,参照データ!$C$47:$U$60,9,0),IF($S44="上級",VLOOKUP($BO44,参照データ!$C$47:$U$60,10,0),""))</f>
        <v/>
      </c>
      <c r="CF44" s="177" t="str">
        <f>IF($T44="初級",VLOOKUP($BO44,参照データ!$C$47:$U$60,11,0),IF($T44="中級",VLOOKUP($BO44,参照データ!$C$47:$U$60,12,0),IF($T44="上級",VLOOKUP($BO44,参照データ!$C$47:$U$60,13,0),"")))</f>
        <v/>
      </c>
      <c r="CG44" s="177" t="str">
        <f>IF($U44="初級",VLOOKUP($BO44,参照データ!$C$47:$U$60,14,0),IF($U44="中級",VLOOKUP($BO44,参照データ!$C$47:$U$60,15,0),IF($U44="上級",VLOOKUP($BO44,参照データ!$C$47:$U$60,16,0),"")))</f>
        <v/>
      </c>
      <c r="CH44" s="55" t="str">
        <f t="shared" si="5"/>
        <v/>
      </c>
      <c r="CI44" s="55" t="str">
        <f>IF($V44="初級",VLOOKUP($BO44,参照データ!$C$47:$U$60,17,0),IF($V44="中級",VLOOKUP($BO44,参照データ!$C$47:$U$60,18,0),IF($V44="上級",VLOOKUP($BO44,参照データ!$C$47:$U$60,19,0),"")))</f>
        <v/>
      </c>
      <c r="CJ44" s="867">
        <v>17</v>
      </c>
      <c r="CK44" s="74" t="s">
        <v>268</v>
      </c>
      <c r="CL44" s="151" t="str">
        <f t="shared" si="6"/>
        <v/>
      </c>
      <c r="CM44" s="871" t="str">
        <f t="shared" ref="CM44" si="114">IF(OR($CL44="",$CL45=""),"",IF($CL44&gt;$CL45,$CL44,$CL45))</f>
        <v/>
      </c>
      <c r="CO44" s="61">
        <f>IF(AND($BJ44&gt;=参照データ!$C$71,$BJ44&lt;=参照データ!$C$69),1,IF(AND($BJ44&gt;=参照データ!$C$74,$BJ44&lt;=参照データ!$C$72),2,IF(AND($BJ44&gt;=参照データ!$C$77,$BJ44&lt;=参照データ!$C$75),3,IF(AND($BJ44&gt;=参照データ!$C$80,$BJ44&lt;=参照データ!$C$78),4,IF(AND($BJ44&gt;=参照データ!$C$83,$BJ44&lt;=参照データ!$C$81),5,IF(AND($BJ44&gt;0,$BJ44&lt;=参照データ!$C$84),6,""))))))</f>
        <v>5</v>
      </c>
      <c r="CP44" s="160" t="str">
        <f>IF($Y44="オープン",(VLOOKUP($CO44,参照データ!$D$69:$J$86,2,0)),"")</f>
        <v/>
      </c>
      <c r="CQ44" s="79" t="str">
        <f t="shared" si="27"/>
        <v/>
      </c>
      <c r="CR44" s="78" t="str">
        <f>IF($AA44="オープン",(VLOOKUP($CO44,参照データ!$D$69:$J$86,3,0)),"")</f>
        <v/>
      </c>
      <c r="CS44" s="79" t="str">
        <f t="shared" si="28"/>
        <v/>
      </c>
      <c r="CT44" s="78" t="str">
        <f>IF($AC44="オープン",(VLOOKUP($CO44,参照データ!$D$69:$J$86,4,0)),"")</f>
        <v/>
      </c>
      <c r="CU44" s="79" t="str">
        <f t="shared" si="29"/>
        <v/>
      </c>
      <c r="CV44" s="78" t="str">
        <f>IF($AE44="オープン",(VLOOKUP($CO44,参照データ!$D$69:$J$86,5,0)),"")</f>
        <v/>
      </c>
      <c r="CW44" s="79" t="str">
        <f t="shared" si="7"/>
        <v/>
      </c>
      <c r="CX44" s="78" t="str">
        <f>IF($AG44="オープン",(VLOOKUP($CO44,参照データ!$D$69:$J$86,6,0)),"")</f>
        <v/>
      </c>
      <c r="CY44" s="79" t="str">
        <f t="shared" si="30"/>
        <v/>
      </c>
      <c r="CZ44" s="38" t="str">
        <f t="shared" si="31"/>
        <v/>
      </c>
      <c r="DA44" s="37" t="str">
        <f t="shared" si="32"/>
        <v/>
      </c>
      <c r="DB44" s="79" t="str">
        <f t="shared" si="33"/>
        <v/>
      </c>
      <c r="DC44" s="857">
        <v>17</v>
      </c>
      <c r="DD44" s="87" t="s">
        <v>118</v>
      </c>
      <c r="DE44" s="88" t="str">
        <f t="shared" si="34"/>
        <v/>
      </c>
      <c r="DF44" s="859" t="e">
        <f>IF($DE44&gt;$DE45,VLOOKUP($DE44,参照データ!$D$69:$J$86,7,0),VLOOKUP($DE45,参照データ!$D$69:$J$86,7,0))</f>
        <v>#N/A</v>
      </c>
      <c r="DG44" s="350" t="str">
        <f>IFERROR(VLOOKUP($DF44,参照データ!$J$69:$M$86,4,0),"")</f>
        <v/>
      </c>
      <c r="DH44" s="523">
        <f>IF(AND($BJ44&gt;=参照データ!$C$130,$BJ44&lt;=参照データ!$C$128),1,IF(AND($BJ44&gt;=参照データ!$C$133,$BJ44&lt;=参照データ!$C$131),2,IF(AND($BJ44&gt;=参照データ!$C$139,$BJ44&lt;=参照データ!$C$137),3,IF(AND($BJ44&gt;0,$BJ44&lt;=参照データ!$C$140),4,""))))</f>
        <v>1</v>
      </c>
      <c r="DI44" s="523">
        <f t="shared" si="35"/>
        <v>7</v>
      </c>
      <c r="DJ44" s="523" t="str">
        <f t="shared" si="36"/>
        <v/>
      </c>
      <c r="DK44" s="524" t="str">
        <f>IF($AN44="","",IF(AND($AN44="○",$BK44="男子"),VLOOKUP($DI44,参照データ!$D$128:$J$145,3,FALSE),VLOOKUP($DH44,参照データ!$D$128:$J$145,3,FALSE)))</f>
        <v/>
      </c>
      <c r="DL44" s="525" t="str">
        <f t="shared" si="37"/>
        <v/>
      </c>
      <c r="DM44" s="524" t="str">
        <f>IF($AP44="","",IF(AND($AP44="○",$BK44="男子"),VLOOKUP($DI44,参照データ!$D$128:$J$145,4,FALSE),VLOOKUP($DH44,参照データ!$D$128:$J$145,4,FALSE)))</f>
        <v/>
      </c>
      <c r="DN44" s="525" t="str">
        <f t="shared" si="38"/>
        <v/>
      </c>
      <c r="DO44" s="524" t="str">
        <f>IF($AR44="","",IF(AND($AR44="○",$BK44="男子"),VLOOKUP($DI44,参照データ!$D$128:$J$145,5,FALSE),VLOOKUP($DH44,参照データ!$D$128:$J$145,5,FALSE)))</f>
        <v/>
      </c>
      <c r="DP44" s="525" t="str">
        <f t="shared" si="39"/>
        <v/>
      </c>
      <c r="DQ44" s="524" t="str">
        <f>IF($AT44="","",IF(AND($AT44="○",$BK44="男子"),VLOOKUP($DI44,参照データ!$D$128:$J$145,6,FALSE),VLOOKUP($DH44,参照データ!$D$128:$J$145,6,FALSE)))</f>
        <v/>
      </c>
      <c r="DR44" s="525" t="str">
        <f t="shared" si="40"/>
        <v/>
      </c>
      <c r="DS44" s="526" t="str">
        <f t="shared" si="41"/>
        <v/>
      </c>
      <c r="DT44" s="527" t="str">
        <f t="shared" si="42"/>
        <v/>
      </c>
      <c r="DU44" s="528" t="str">
        <f t="shared" si="43"/>
        <v/>
      </c>
      <c r="DV44" s="982">
        <v>17</v>
      </c>
      <c r="DW44" s="533" t="s">
        <v>118</v>
      </c>
      <c r="DX44" s="534" t="str">
        <f t="shared" si="92"/>
        <v/>
      </c>
      <c r="DY44" s="877" t="e">
        <f>IF($DX44&gt;$DX45,VLOOKUP($DX44,参照データ!$D$128:$K$145,7,0),VLOOKUP($DX45,参照データ!$D$128:$K$145,7,0))</f>
        <v>#N/A</v>
      </c>
      <c r="DZ44" s="692" t="str">
        <f>IFERROR(VLOOKUP($DY44,参照データ!$J$128:$N$145,5,0),"")</f>
        <v/>
      </c>
      <c r="EA44" s="526" t="str">
        <f t="shared" si="85"/>
        <v/>
      </c>
      <c r="EB44" s="527" t="str">
        <f t="shared" si="86"/>
        <v/>
      </c>
      <c r="EC44" s="528" t="str">
        <f t="shared" si="87"/>
        <v/>
      </c>
      <c r="ED44" s="982">
        <v>17</v>
      </c>
      <c r="EE44" s="533" t="s">
        <v>118</v>
      </c>
      <c r="EF44" s="533" t="str">
        <f t="shared" si="88"/>
        <v/>
      </c>
      <c r="EG44" s="534" t="str">
        <f>IF(SUM(EF44:EF45)&lt;24,"",IF(SUM(EF44:EF45)&gt;=36,3,2))</f>
        <v/>
      </c>
      <c r="EH44" s="877" t="e">
        <f>IF($EG44&gt;$EG45,VLOOKUP($EG44,参照データ!$D$128:$K$145,8,0),VLOOKUP($EG45,参照データ!$D$128:$K$145,8,0))</f>
        <v>#N/A</v>
      </c>
      <c r="EI44" s="527" t="str">
        <f>IFERROR(VLOOKUP($EH44,参照データ!$K$128:$N$145,4,0),"")</f>
        <v/>
      </c>
      <c r="EJ44" s="555" t="str">
        <f t="shared" si="13"/>
        <v/>
      </c>
      <c r="EK44" s="556" t="str">
        <f t="shared" si="44"/>
        <v/>
      </c>
      <c r="EL44" s="846"/>
      <c r="EM44" s="561" t="s">
        <v>804</v>
      </c>
      <c r="EN44" s="562" t="str">
        <f t="shared" si="45"/>
        <v/>
      </c>
      <c r="EO44" s="849"/>
      <c r="EP44" s="555" t="str">
        <f t="shared" ref="EP44:EP71" si="115">IF($BG43="","",$BG43)</f>
        <v/>
      </c>
      <c r="EQ44" s="556" t="str">
        <f t="shared" si="46"/>
        <v/>
      </c>
      <c r="ER44" s="846"/>
      <c r="ES44" s="561" t="s">
        <v>804</v>
      </c>
      <c r="ET44" s="562" t="str">
        <f t="shared" si="47"/>
        <v/>
      </c>
      <c r="EU44" s="849"/>
      <c r="EV44" s="38" t="str">
        <f t="shared" ref="EV44:EV71" si="116">IF($BF43="","",AW43)</f>
        <v/>
      </c>
      <c r="EW44" s="552" t="str">
        <f t="shared" si="48"/>
        <v/>
      </c>
      <c r="EX44" s="836">
        <v>2</v>
      </c>
      <c r="EY44" s="682" t="s">
        <v>982</v>
      </c>
      <c r="EZ44" s="683" t="str">
        <f t="shared" si="49"/>
        <v/>
      </c>
      <c r="FA44" s="838" t="str">
        <f>IF(COUNTIF($EZ$44:$EZ$75,"○")&gt;=1,"AG","")</f>
        <v/>
      </c>
      <c r="FB44" t="str">
        <f>IF($FC44="","",DATEDIF($BJ44,参照データ!$D$19,"Y"))</f>
        <v/>
      </c>
      <c r="FC44" s="298" t="str">
        <f>IFERROR(IF($BK44="男子",VLOOKUP($FJ44,参照データ!$D$92:$E$118,2,0),$FJ44),0)</f>
        <v/>
      </c>
      <c r="FD44" s="92" t="str">
        <f>IF($Y44="選手権",(VLOOKUP($FC44,参照データ!$D$92:$K$121,3,0)),"")</f>
        <v/>
      </c>
      <c r="FE44" s="93" t="str">
        <f t="shared" ref="FE44:FE71" si="117">IF($FD44="","",IF($F44="","S","MS"))</f>
        <v/>
      </c>
      <c r="FF44" s="92" t="str">
        <f>IF($AA44="選手権",(VLOOKUP($FC44,参照データ!$D$92:$K$121,4,0)),"")</f>
        <v/>
      </c>
      <c r="FG44" s="93" t="str">
        <f t="shared" ref="FG44:FG71" si="118">IF($FF44="","",IF($F44="","2B","M2B"))</f>
        <v/>
      </c>
      <c r="FH44" s="92" t="str">
        <f>IF($AC44="選手権",(VLOOKUP($FC44,参照データ!$D$92:$K$121,5,0)),"")</f>
        <v/>
      </c>
      <c r="FI44" s="93" t="str">
        <f t="shared" ref="FI44:FI71" si="119">IF($FH44="","",IF($F44="","3B","M3B"))</f>
        <v/>
      </c>
      <c r="FJ44" s="61" t="str">
        <f>IF(AND($BJ44&gt;=参照データ!$C$94,$BJ44&lt;=参照データ!$C$92),1,IF(AND($BJ44&gt;=参照データ!$C$97,$BJ44&lt;=参照データ!$C$95),2,IF(AND($BJ44&gt;=参照データ!$C$103,$BJ44&lt;=参照データ!$C$101),3,IF(AND($BJ44&gt;=参照データ!$C$109,$BJ44&lt;=参照データ!$C$107),4,IF(AND($BJ44&gt;=参照データ!$C$115,$BJ44&lt;=参照データ!$C$113),5,IF(AND($BJ44&gt;0,$BJ44&lt;=参照データ!$C$116),6,""))))))</f>
        <v/>
      </c>
      <c r="FK44" s="92" t="str">
        <f>IF($AE44="選手権",(VLOOKUP($FJ44,参照データ!$D$92:$K$121,6,0)),"")</f>
        <v/>
      </c>
      <c r="FL44" s="93" t="str">
        <f t="shared" si="19"/>
        <v/>
      </c>
      <c r="FM44" s="92" t="str">
        <f>IF($AG44="選手権",(VLOOKUP($FJ44,参照データ!$D$92:$K$121,7,0)),"")</f>
        <v/>
      </c>
      <c r="FN44" s="93" t="str">
        <f t="shared" si="50"/>
        <v/>
      </c>
      <c r="FO44" s="38" t="str">
        <f t="shared" si="51"/>
        <v/>
      </c>
      <c r="FP44" s="37" t="str">
        <f t="shared" si="52"/>
        <v/>
      </c>
      <c r="FQ44" s="93" t="str">
        <f t="shared" si="53"/>
        <v/>
      </c>
      <c r="FR44" s="979">
        <v>17</v>
      </c>
      <c r="FS44" s="101" t="s">
        <v>118</v>
      </c>
      <c r="FT44" s="102" t="str">
        <f t="shared" ref="FT44:FT71" si="120">IFERROR(INDEX($FJ:$FJ,MATCH($FS44,$FO:$FO,0)),"")</f>
        <v/>
      </c>
      <c r="FU44" s="980" t="e">
        <f>IF($FT44&gt;$FT45,VLOOKUP($FT44,参照データ!$D$92:$K$121,8,0),VLOOKUP($FT45,参照データ!$D$92:$K$121,8,0))</f>
        <v>#N/A</v>
      </c>
      <c r="FV44" s="356" t="str">
        <f>IFERROR(VLOOKUP($FU44,参照データ!$K$92:$O$121,5,0),"")</f>
        <v/>
      </c>
      <c r="FY44" s="40">
        <f>(COUNTIF($J44:$O44,"&lt;&gt;"))*参照データ!$E$3</f>
        <v>0</v>
      </c>
      <c r="FZ44" s="267" t="str">
        <f>IF($P44="○",参照データ!$E$4,"")</f>
        <v/>
      </c>
      <c r="GA44" s="19">
        <f>(SUM(COUNTIF($Q44:$U44,{"入門","初級"}))*参照データ!$E$9)+(SUM(COUNTIF($Q44:$U44,{"中級","上級"})*参照データ!$E$10))</f>
        <v>0</v>
      </c>
      <c r="GB44" s="19">
        <f>IFERROR(VLOOKUP($V44,参照データ!$D$9:$J$11,7,0),0)</f>
        <v>0</v>
      </c>
      <c r="GC44" s="19">
        <f>((COUNTIF($Y44:$AG44,"オープン"))*参照データ!$E$12)</f>
        <v>0</v>
      </c>
      <c r="GD44" s="19" t="str">
        <f>(IF($AI44="オープン",参照データ!$J$12,""))</f>
        <v/>
      </c>
      <c r="GE44" s="19">
        <f>(COUNTIF($AN44:$AU44,"○")*参照データ!$E$22)</f>
        <v>0</v>
      </c>
      <c r="GF44" s="19">
        <f>(COUNTIF($AV44:$BA44,"○")*参照データ!$I$22)</f>
        <v>0</v>
      </c>
      <c r="GI44" s="19">
        <f>((COUNTIF($Y44:$AG44,"選手権"))*参照データ!$E$13)</f>
        <v>0</v>
      </c>
      <c r="GJ44" s="19" t="str">
        <f>(IF($AI44="選手権",参照データ!$J$13,""))</f>
        <v/>
      </c>
      <c r="GK44" s="106">
        <f t="array" ref="GK44">SUM(IF(ISERROR(FY44:GJ44),0,(FY44:GJ44)))</f>
        <v>0</v>
      </c>
      <c r="GL44" s="19"/>
      <c r="GM44" s="19">
        <f t="shared" si="54"/>
        <v>0</v>
      </c>
      <c r="GN44" s="19">
        <f t="shared" si="55"/>
        <v>0</v>
      </c>
      <c r="GO44" s="19">
        <f t="shared" si="56"/>
        <v>0</v>
      </c>
      <c r="GP44" s="19">
        <f t="shared" ref="GP44:GP71" si="121">COUNTIF($Y44:$AV44,"オープン")</f>
        <v>0</v>
      </c>
      <c r="GQ44" s="19">
        <f t="shared" si="57"/>
        <v>0</v>
      </c>
      <c r="GR44" s="19">
        <f t="shared" si="58"/>
        <v>0</v>
      </c>
      <c r="GS44" s="19">
        <f t="shared" si="59"/>
        <v>0</v>
      </c>
      <c r="GT44" s="19">
        <f t="shared" si="60"/>
        <v>0</v>
      </c>
      <c r="GU44" s="19">
        <f t="shared" si="61"/>
        <v>0</v>
      </c>
      <c r="GV44" t="str">
        <f t="shared" ref="GV44:GV71" si="122">IF($GQ44&gt;=2,$FE44&amp;$FG44&amp;$FI44&amp;$FQ44&amp;$FN44&amp;$FL44,"")</f>
        <v/>
      </c>
      <c r="GW44" t="str">
        <f t="shared" si="62"/>
        <v/>
      </c>
      <c r="GX44" t="str">
        <f t="shared" ref="GX44:GX71" si="123">IF(GS44=1,"TT","")</f>
        <v/>
      </c>
      <c r="GY44" t="str">
        <f t="shared" si="63"/>
        <v/>
      </c>
      <c r="GZ44" t="str">
        <f t="shared" ref="GZ44:GZ71" si="124">IF(GU44=1,"AG","")</f>
        <v/>
      </c>
    </row>
    <row r="45" spans="1:208" ht="18.75" customHeight="1" x14ac:dyDescent="0.15">
      <c r="A45">
        <v>34</v>
      </c>
      <c r="B45" s="15" t="str">
        <f>IF(D45="","",IF(D45="重複","",COUNTIF(B$12:$B44,"&gt;0")+1))</f>
        <v/>
      </c>
      <c r="C45" s="713"/>
      <c r="D45" s="185"/>
      <c r="E45" s="185"/>
      <c r="F45" s="36"/>
      <c r="G45" s="47"/>
      <c r="H45" s="402">
        <f t="shared" si="112"/>
        <v>0</v>
      </c>
      <c r="I45" s="201" t="str">
        <f>IF($BJ45=0,"",DATEDIF($BJ45,参照データ!$D$16,"Y"))</f>
        <v/>
      </c>
      <c r="J45" s="41"/>
      <c r="K45" s="41"/>
      <c r="L45" s="41"/>
      <c r="M45" s="41"/>
      <c r="N45" s="41"/>
      <c r="O45" s="49"/>
      <c r="P45" s="395"/>
      <c r="Q45" s="51"/>
      <c r="R45" s="289"/>
      <c r="S45" s="289"/>
      <c r="T45" s="289"/>
      <c r="U45" s="290"/>
      <c r="V45" s="293"/>
      <c r="W45" s="295"/>
      <c r="Y45" s="446"/>
      <c r="Z45" s="396" t="str">
        <f>IF($Y45="オープン",VLOOKUP($CO45,参照データ!$D$69:$M$86,9,0),IF($Y45="選手権",VLOOKUP($FC45,参照データ!$D$92:$O$121,10,0),""))</f>
        <v/>
      </c>
      <c r="AA45" s="446"/>
      <c r="AB45" s="666" t="str">
        <f>IF($AA45="オープン",VLOOKUP($CO45,参照データ!$D$69:$M$86,10,0),IF($AA45="選手権",VLOOKUP($FC45,参照データ!$D$92:$O$121,11,0),""))</f>
        <v/>
      </c>
      <c r="AC45" s="669"/>
      <c r="AD45" s="396" t="str">
        <f>IF($AC45="オープン",VLOOKUP($CO45,参照データ!$D$69:$M$86,10,0),IF($AC45="選手権",VLOOKUP($FC45,参照データ!$D$92:$O$121,11,0),""))</f>
        <v/>
      </c>
      <c r="AE45" s="446"/>
      <c r="AF45" s="396" t="str">
        <f>IF($AE45="オープン",VLOOKUP($CO45,参照データ!$D$69:$M$86,10,0),IF($AE45="選手権",VLOOKUP($FJ45,参照データ!$D$92:$O$121,12,0),""))</f>
        <v/>
      </c>
      <c r="AG45" s="446"/>
      <c r="AH45" s="396" t="str">
        <f>IF($AG45="オープン",VLOOKUP($CO45,参照データ!$D$69:$M$86,10,0),IF($AG45="選手権",VLOOKUP($FJ45,参照データ!$D$92:$O$121,12,0),""))</f>
        <v/>
      </c>
      <c r="AI45" s="446"/>
      <c r="AJ45" s="449"/>
      <c r="AK45" s="396" t="str">
        <f t="shared" si="113"/>
        <v/>
      </c>
      <c r="AL45" s="587"/>
      <c r="AM45" s="588" t="str">
        <f>IF($BJ45=0,"",DATEDIF($BJ45,参照データ!$D$17,"Y"))</f>
        <v/>
      </c>
      <c r="AN45" s="450"/>
      <c r="AO45" s="591" t="str">
        <f>IF(AN45="","",IF($BK45="男子",VLOOKUP($DI45,参照データ!$D$128:$M$145,10,FALSE),VLOOKUP($DH45,参照データ!$D$128:$M$145,10,FALSE)))</f>
        <v/>
      </c>
      <c r="AP45" s="450"/>
      <c r="AQ45" s="591" t="str">
        <f>IF(AP45="","",IF($BK45="男子",VLOOKUP($DI45,参照データ!$D$128:$M$145,10,FALSE),VLOOKUP($DH45,参照データ!$D$128:$M$145,10,FALSE)))</f>
        <v/>
      </c>
      <c r="AR45" s="450"/>
      <c r="AS45" s="591" t="str">
        <f>IF(AR45="","",IF($BK45="男子",VLOOKUP($DI45,参照データ!$D$128:$M$145,10,FALSE),VLOOKUP($DH45,参照データ!$D$128:$M$145,10,FALSE)))</f>
        <v/>
      </c>
      <c r="AT45" s="450"/>
      <c r="AU45" s="591" t="str">
        <f>IF(AT45="","",IF($BK45="男子",VLOOKUP($DI45,参照データ!$D$128:$M$145,10,FALSE),VLOOKUP($DH45,参照データ!$D$128:$M$145,10,FALSE)))</f>
        <v/>
      </c>
      <c r="AV45" s="448"/>
      <c r="AW45" s="448"/>
      <c r="AX45" s="585" t="str">
        <f t="shared" si="25"/>
        <v/>
      </c>
      <c r="AY45" s="448"/>
      <c r="AZ45" s="448"/>
      <c r="BA45" s="585" t="str">
        <f t="shared" si="83"/>
        <v/>
      </c>
      <c r="BB45" s="677"/>
      <c r="BC45" s="724"/>
      <c r="BD45" s="640"/>
      <c r="BE45" s="482"/>
      <c r="BF45" s="365"/>
      <c r="BG45" s="366"/>
      <c r="BJ45">
        <f t="shared" si="75"/>
        <v>0</v>
      </c>
      <c r="BK45" t="str">
        <f t="shared" si="65"/>
        <v/>
      </c>
      <c r="BL45" s="146"/>
      <c r="BO45" s="61" t="str">
        <f>IF($BJ45=0,"",IF(AND($I45&gt;=6,$I45&lt;=19),VLOOKUP($I45,参照データ!$B$28:$C$41,2,0),IF($I45&lt;6,6,19)))</f>
        <v/>
      </c>
      <c r="BP45" s="178" t="str">
        <f>IF($J45=$BI$12,VLOOKUP($BO45,参照データ!$C$28:$I$41,2,0),"")</f>
        <v/>
      </c>
      <c r="BQ45" s="169" t="str">
        <f>IF($K45=$BI$12,VLOOKUP($BO45,参照データ!$C$28:$I$41,3,0),"")</f>
        <v/>
      </c>
      <c r="BR45" s="169" t="str">
        <f>IF($L45=$BI$12,VLOOKUP($BO45,参照データ!$C$28:$I$41,4,0),"")</f>
        <v/>
      </c>
      <c r="BS45" s="169" t="str">
        <f>IF($M45=$BI$12,VLOOKUP($BO45,参照データ!$C$28:$I$41,5,0),"")</f>
        <v/>
      </c>
      <c r="BT45" s="169" t="str">
        <f>IF($N45=$BI$12,VLOOKUP($BO45,参照データ!$C$28:$I$41,6,0),"")</f>
        <v/>
      </c>
      <c r="BU45" s="179" t="str">
        <f>IF($O45=$BI$12,VLOOKUP($BO45,参照データ!$C$28:$I$41,7,0),"")</f>
        <v/>
      </c>
      <c r="BV45" s="178" t="str">
        <f>IF($J45=$BI$13,VLOOKUP($BO45,参照データ!$C$28:$I$41,2,0),"")</f>
        <v/>
      </c>
      <c r="BW45" s="169" t="str">
        <f>IF($K45=$BI$13,VLOOKUP($BO45,参照データ!$C$28:$I$41,3,0),"")</f>
        <v/>
      </c>
      <c r="BX45" s="169" t="str">
        <f>IF($L45=$BI$13,VLOOKUP($BO45,参照データ!$C$28:$I$41,4,0),"")</f>
        <v/>
      </c>
      <c r="BY45" s="169" t="str">
        <f>IF($M45=$BI$13,VLOOKUP($BO45,参照データ!$C$28:$I$41,5,0),"")</f>
        <v/>
      </c>
      <c r="BZ45" s="169" t="str">
        <f>IF($N45=$BI$13,VLOOKUP($BO45,参照データ!$C$28:$I$41,6,0),"")</f>
        <v/>
      </c>
      <c r="CA45" s="179" t="str">
        <f>IF($O45=$BI$13,VLOOKUP($BO45,参照データ!$C$28:$I$41,7,0),"")</f>
        <v/>
      </c>
      <c r="CB45" s="271" t="str">
        <f t="shared" si="26"/>
        <v/>
      </c>
      <c r="CC45" s="177" t="str">
        <f>IF($Q45="入門",VLOOKUP($BO45,参照データ!$C$47:$U$60,2,0),IF($Q45="初級",VLOOKUP($BO45,参照データ!$C$47:$U$60,3,0),IF($Q45="中級",VLOOKUP($BO45,参照データ!$C$47:$U$60,4,0),IF($Q45="上級",VLOOKUP($BO45,参照データ!$C$47:$U$60,5,0),""))))</f>
        <v/>
      </c>
      <c r="CD45" s="177" t="str">
        <f>IF($R45="初級",VLOOKUP($BO45,参照データ!$C$47:$U$60,6,0),IF($R45="中級",VLOOKUP($BO45,参照データ!$C$47:$U$60,7,0),IF($R45="上級",VLOOKUP($BO45,参照データ!$C$47:$U$60,8,0),"")))</f>
        <v/>
      </c>
      <c r="CE45" s="177" t="str">
        <f>IF($S45="初級",VLOOKUP($BO45,参照データ!$C$47:$U$60,9,0),IF($S45="上級",VLOOKUP($BO45,参照データ!$C$47:$U$60,10,0),""))</f>
        <v/>
      </c>
      <c r="CF45" s="177" t="str">
        <f>IF($T45="初級",VLOOKUP($BO45,参照データ!$C$47:$U$60,11,0),IF($T45="中級",VLOOKUP($BO45,参照データ!$C$47:$U$60,12,0),IF($T45="上級",VLOOKUP($BO45,参照データ!$C$47:$U$60,13,0),"")))</f>
        <v/>
      </c>
      <c r="CG45" s="177" t="str">
        <f>IF($U45="初級",VLOOKUP($BO45,参照データ!$C$47:$U$60,14,0),IF($U45="中級",VLOOKUP($BO45,参照データ!$C$47:$U$60,15,0),IF($U45="上級",VLOOKUP($BO45,参照データ!$C$47:$U$60,16,0),"")))</f>
        <v/>
      </c>
      <c r="CH45" s="55" t="str">
        <f t="shared" si="5"/>
        <v/>
      </c>
      <c r="CI45" s="55" t="str">
        <f>IF($V45="初級",VLOOKUP($BO45,参照データ!$C$47:$U$60,17,0),IF($V45="中級",VLOOKUP($BO45,参照データ!$C$47:$U$60,18,0),IF($V45="上級",VLOOKUP($BO45,参照データ!$C$47:$U$60,19,0),"")))</f>
        <v/>
      </c>
      <c r="CJ45" s="868"/>
      <c r="CK45" s="73" t="s">
        <v>269</v>
      </c>
      <c r="CL45" s="150" t="str">
        <f t="shared" si="6"/>
        <v/>
      </c>
      <c r="CM45" s="872"/>
      <c r="CO45" s="61">
        <f>IF(AND($BJ45&gt;=参照データ!$C$71,$BJ45&lt;=参照データ!$C$69),1,IF(AND($BJ45&gt;=参照データ!$C$74,$BJ45&lt;=参照データ!$C$72),2,IF(AND($BJ45&gt;=参照データ!$C$77,$BJ45&lt;=参照データ!$C$75),3,IF(AND($BJ45&gt;=参照データ!$C$80,$BJ45&lt;=参照データ!$C$78),4,IF(AND($BJ45&gt;=参照データ!$C$83,$BJ45&lt;=参照データ!$C$81),5,IF(AND($BJ45&gt;0,$BJ45&lt;=参照データ!$C$84),6,""))))))</f>
        <v>5</v>
      </c>
      <c r="CP45" s="160" t="str">
        <f>IF($Y45="オープン",(VLOOKUP($CO45,参照データ!$D$69:$J$86,2,0)),"")</f>
        <v/>
      </c>
      <c r="CQ45" s="79" t="str">
        <f t="shared" si="27"/>
        <v/>
      </c>
      <c r="CR45" s="78" t="str">
        <f>IF($AA45="オープン",(VLOOKUP($CO45,参照データ!$D$69:$J$86,3,0)),"")</f>
        <v/>
      </c>
      <c r="CS45" s="79" t="str">
        <f t="shared" si="28"/>
        <v/>
      </c>
      <c r="CT45" s="78" t="str">
        <f>IF($AC45="オープン",(VLOOKUP($CO45,参照データ!$D$69:$J$86,4,0)),"")</f>
        <v/>
      </c>
      <c r="CU45" s="79" t="str">
        <f t="shared" si="29"/>
        <v/>
      </c>
      <c r="CV45" s="78" t="str">
        <f>IF($AE45="オープン",(VLOOKUP($CO45,参照データ!$D$69:$J$86,5,0)),"")</f>
        <v/>
      </c>
      <c r="CW45" s="79" t="str">
        <f t="shared" si="7"/>
        <v/>
      </c>
      <c r="CX45" s="78" t="str">
        <f>IF($AG45="オープン",(VLOOKUP($CO45,参照データ!$D$69:$J$86,6,0)),"")</f>
        <v/>
      </c>
      <c r="CY45" s="79" t="str">
        <f t="shared" si="30"/>
        <v/>
      </c>
      <c r="CZ45" s="38" t="str">
        <f t="shared" si="31"/>
        <v/>
      </c>
      <c r="DA45" s="37" t="str">
        <f t="shared" si="32"/>
        <v/>
      </c>
      <c r="DB45" s="79" t="str">
        <f t="shared" si="33"/>
        <v/>
      </c>
      <c r="DC45" s="858"/>
      <c r="DD45" s="85" t="s">
        <v>119</v>
      </c>
      <c r="DE45" s="86" t="str">
        <f t="shared" si="34"/>
        <v/>
      </c>
      <c r="DF45" s="860"/>
      <c r="DG45" s="350" t="str">
        <f t="shared" ref="DG45" si="125">$DG44</f>
        <v/>
      </c>
      <c r="DH45" s="523">
        <f>IF(AND($BJ45&gt;=参照データ!$C$130,$BJ45&lt;=参照データ!$C$128),1,IF(AND($BJ45&gt;=参照データ!$C$133,$BJ45&lt;=参照データ!$C$131),2,IF(AND($BJ45&gt;=参照データ!$C$139,$BJ45&lt;=参照データ!$C$137),3,IF(AND($BJ45&gt;0,$BJ45&lt;=参照データ!$C$140),4,""))))</f>
        <v>1</v>
      </c>
      <c r="DI45" s="523">
        <f t="shared" si="35"/>
        <v>7</v>
      </c>
      <c r="DJ45" s="523" t="str">
        <f t="shared" si="36"/>
        <v/>
      </c>
      <c r="DK45" s="524" t="str">
        <f>IF($AN45="","",IF(AND($AN45="○",$BK45="男子"),VLOOKUP($DI45,参照データ!$D$128:$J$145,3,FALSE),VLOOKUP($DH45,参照データ!$D$128:$J$145,3,FALSE)))</f>
        <v/>
      </c>
      <c r="DL45" s="525" t="str">
        <f t="shared" si="37"/>
        <v/>
      </c>
      <c r="DM45" s="524" t="str">
        <f>IF($AP45="","",IF(AND($AP45="○",$BK45="男子"),VLOOKUP($DI45,参照データ!$D$128:$J$145,4,FALSE),VLOOKUP($DH45,参照データ!$D$128:$J$145,4,FALSE)))</f>
        <v/>
      </c>
      <c r="DN45" s="525" t="str">
        <f t="shared" si="38"/>
        <v/>
      </c>
      <c r="DO45" s="524" t="str">
        <f>IF($AR45="","",IF(AND($AR45="○",$BK45="男子"),VLOOKUP($DI45,参照データ!$D$128:$J$145,5,FALSE),VLOOKUP($DH45,参照データ!$D$128:$J$145,5,FALSE)))</f>
        <v/>
      </c>
      <c r="DP45" s="525" t="str">
        <f t="shared" si="39"/>
        <v/>
      </c>
      <c r="DQ45" s="524" t="str">
        <f>IF($AT45="","",IF(AND($AT45="○",$BK45="男子"),VLOOKUP($DI45,参照データ!$D$128:$J$145,6,FALSE),VLOOKUP($DH45,参照データ!$D$128:$J$145,6,FALSE)))</f>
        <v/>
      </c>
      <c r="DR45" s="525" t="str">
        <f t="shared" si="40"/>
        <v/>
      </c>
      <c r="DS45" s="526" t="str">
        <f t="shared" si="41"/>
        <v/>
      </c>
      <c r="DT45" s="527" t="str">
        <f t="shared" si="42"/>
        <v/>
      </c>
      <c r="DU45" s="528" t="str">
        <f t="shared" si="43"/>
        <v/>
      </c>
      <c r="DV45" s="983"/>
      <c r="DW45" s="531" t="s">
        <v>119</v>
      </c>
      <c r="DX45" s="532" t="str">
        <f t="shared" si="92"/>
        <v/>
      </c>
      <c r="DY45" s="994"/>
      <c r="DZ45" s="692" t="str">
        <f>$DZ44</f>
        <v/>
      </c>
      <c r="EA45" s="526" t="str">
        <f t="shared" si="85"/>
        <v/>
      </c>
      <c r="EB45" s="527" t="str">
        <f t="shared" si="86"/>
        <v/>
      </c>
      <c r="EC45" s="528" t="str">
        <f t="shared" si="87"/>
        <v/>
      </c>
      <c r="ED45" s="983"/>
      <c r="EE45" s="531" t="s">
        <v>119</v>
      </c>
      <c r="EF45" s="531" t="str">
        <f t="shared" si="88"/>
        <v/>
      </c>
      <c r="EG45" s="532" t="str">
        <f>IF(SUM(EF44:EF45)&lt;24,"",IF(SUM(EF44:EF45)&gt;=36,3,2))</f>
        <v/>
      </c>
      <c r="EH45" s="994"/>
      <c r="EI45" s="527" t="str">
        <f>$EI44</f>
        <v/>
      </c>
      <c r="EJ45" s="555" t="str">
        <f t="shared" si="13"/>
        <v/>
      </c>
      <c r="EK45" s="556" t="str">
        <f t="shared" si="44"/>
        <v/>
      </c>
      <c r="EL45" s="846"/>
      <c r="EM45" s="561" t="s">
        <v>805</v>
      </c>
      <c r="EN45" s="562" t="str">
        <f t="shared" si="45"/>
        <v/>
      </c>
      <c r="EO45" s="849"/>
      <c r="EP45" s="555" t="str">
        <f t="shared" si="115"/>
        <v/>
      </c>
      <c r="EQ45" s="556" t="str">
        <f t="shared" si="46"/>
        <v/>
      </c>
      <c r="ER45" s="846"/>
      <c r="ES45" s="561" t="s">
        <v>805</v>
      </c>
      <c r="ET45" s="562" t="str">
        <f t="shared" si="47"/>
        <v/>
      </c>
      <c r="EU45" s="849"/>
      <c r="EV45" s="38" t="str">
        <f t="shared" si="116"/>
        <v/>
      </c>
      <c r="EW45" s="552" t="str">
        <f t="shared" si="48"/>
        <v/>
      </c>
      <c r="EX45" s="833"/>
      <c r="EY45" s="559" t="s">
        <v>765</v>
      </c>
      <c r="EZ45" s="560" t="str">
        <f t="shared" si="49"/>
        <v/>
      </c>
      <c r="FA45" s="835"/>
      <c r="FB45" t="str">
        <f>IF($FC45="","",DATEDIF($BJ45,参照データ!$D$19,"Y"))</f>
        <v/>
      </c>
      <c r="FC45" s="298" t="str">
        <f>IFERROR(IF($BK45="男子",VLOOKUP($FJ45,参照データ!$D$92:$E$118,2,0),$FJ45),0)</f>
        <v/>
      </c>
      <c r="FD45" s="92" t="str">
        <f>IF($Y45="選手権",(VLOOKUP($FC45,参照データ!$D$92:$K$121,3,0)),"")</f>
        <v/>
      </c>
      <c r="FE45" s="93" t="str">
        <f t="shared" si="117"/>
        <v/>
      </c>
      <c r="FF45" s="92" t="str">
        <f>IF($AA45="選手権",(VLOOKUP($FC45,参照データ!$D$92:$K$121,4,0)),"")</f>
        <v/>
      </c>
      <c r="FG45" s="93" t="str">
        <f t="shared" si="118"/>
        <v/>
      </c>
      <c r="FH45" s="92" t="str">
        <f>IF($AC45="選手権",(VLOOKUP($FC45,参照データ!$D$92:$K$121,5,0)),"")</f>
        <v/>
      </c>
      <c r="FI45" s="93" t="str">
        <f t="shared" si="119"/>
        <v/>
      </c>
      <c r="FJ45" s="61" t="str">
        <f>IF(AND($BJ45&gt;=参照データ!$C$94,$BJ45&lt;=参照データ!$C$92),1,IF(AND($BJ45&gt;=参照データ!$C$97,$BJ45&lt;=参照データ!$C$95),2,IF(AND($BJ45&gt;=参照データ!$C$103,$BJ45&lt;=参照データ!$C$101),3,IF(AND($BJ45&gt;=参照データ!$C$109,$BJ45&lt;=参照データ!$C$107),4,IF(AND($BJ45&gt;=参照データ!$C$115,$BJ45&lt;=参照データ!$C$113),5,IF(AND($BJ45&gt;0,$BJ45&lt;=参照データ!$C$116),6,""))))))</f>
        <v/>
      </c>
      <c r="FK45" s="92" t="str">
        <f>IF($AE45="選手権",(VLOOKUP($FJ45,参照データ!$D$92:$K$121,6,0)),"")</f>
        <v/>
      </c>
      <c r="FL45" s="93" t="str">
        <f t="shared" si="19"/>
        <v/>
      </c>
      <c r="FM45" s="92" t="str">
        <f>IF($AG45="選手権",(VLOOKUP($FJ45,参照データ!$D$92:$K$121,7,0)),"")</f>
        <v/>
      </c>
      <c r="FN45" s="93" t="str">
        <f t="shared" si="50"/>
        <v/>
      </c>
      <c r="FO45" s="38" t="str">
        <f t="shared" si="51"/>
        <v/>
      </c>
      <c r="FP45" s="37" t="str">
        <f t="shared" si="52"/>
        <v/>
      </c>
      <c r="FQ45" s="93" t="str">
        <f t="shared" si="53"/>
        <v/>
      </c>
      <c r="FR45" s="976"/>
      <c r="FS45" s="99" t="s">
        <v>119</v>
      </c>
      <c r="FT45" s="100" t="str">
        <f t="shared" si="120"/>
        <v/>
      </c>
      <c r="FU45" s="978"/>
      <c r="FV45" s="356" t="str">
        <f t="shared" si="99"/>
        <v/>
      </c>
      <c r="FY45" s="40">
        <f>(COUNTIF($J45:$O45,"&lt;&gt;"))*参照データ!$E$3</f>
        <v>0</v>
      </c>
      <c r="FZ45" s="267" t="str">
        <f>IF($P45="○",参照データ!$E$4,"")</f>
        <v/>
      </c>
      <c r="GA45" s="19">
        <f>(SUM(COUNTIF($Q45:$U45,{"入門","初級"}))*参照データ!$E$9)+(SUM(COUNTIF($Q45:$U45,{"中級","上級"})*参照データ!$E$10))</f>
        <v>0</v>
      </c>
      <c r="GB45" s="19">
        <f>IFERROR(VLOOKUP($V45,参照データ!$D$9:$J$11,7,0),0)</f>
        <v>0</v>
      </c>
      <c r="GC45" s="19">
        <f>((COUNTIF($Y45:$AG45,"オープン"))*参照データ!$E$12)</f>
        <v>0</v>
      </c>
      <c r="GD45" s="19" t="str">
        <f>(IF($AI45="オープン",参照データ!$J$12,""))</f>
        <v/>
      </c>
      <c r="GE45" s="19">
        <f>(COUNTIF($AN45:$AU45,"○")*参照データ!$E$22)</f>
        <v>0</v>
      </c>
      <c r="GF45" s="19">
        <f>(COUNTIF($AV45:$BA45,"○")*参照データ!$I$22)</f>
        <v>0</v>
      </c>
      <c r="GI45" s="19">
        <f>((COUNTIF($Y45:$AG45,"選手権"))*参照データ!$E$13)</f>
        <v>0</v>
      </c>
      <c r="GJ45" s="19" t="str">
        <f>(IF($AI45="選手権",参照データ!$J$13,""))</f>
        <v/>
      </c>
      <c r="GK45" s="106">
        <f t="array" ref="GK45">SUM(IF(ISERROR(FY45:GJ45),0,(FY45:GJ45)))</f>
        <v>0</v>
      </c>
      <c r="GL45" s="19"/>
      <c r="GM45" s="19">
        <f t="shared" si="54"/>
        <v>0</v>
      </c>
      <c r="GN45" s="19">
        <f t="shared" si="55"/>
        <v>0</v>
      </c>
      <c r="GO45" s="19">
        <f t="shared" si="56"/>
        <v>0</v>
      </c>
      <c r="GP45" s="19">
        <f t="shared" si="121"/>
        <v>0</v>
      </c>
      <c r="GQ45" s="19">
        <f t="shared" si="57"/>
        <v>0</v>
      </c>
      <c r="GR45" s="19">
        <f t="shared" si="58"/>
        <v>0</v>
      </c>
      <c r="GS45" s="19">
        <f t="shared" si="59"/>
        <v>0</v>
      </c>
      <c r="GT45" s="19">
        <f t="shared" si="60"/>
        <v>0</v>
      </c>
      <c r="GU45" s="19">
        <f t="shared" si="61"/>
        <v>0</v>
      </c>
      <c r="GV45" t="str">
        <f t="shared" si="122"/>
        <v/>
      </c>
      <c r="GW45" t="str">
        <f t="shared" si="62"/>
        <v/>
      </c>
      <c r="GX45" t="str">
        <f t="shared" si="123"/>
        <v/>
      </c>
      <c r="GY45" t="str">
        <f t="shared" si="63"/>
        <v/>
      </c>
      <c r="GZ45" t="str">
        <f t="shared" si="124"/>
        <v/>
      </c>
    </row>
    <row r="46" spans="1:208" ht="18.75" customHeight="1" x14ac:dyDescent="0.15">
      <c r="A46">
        <v>35</v>
      </c>
      <c r="B46" s="15" t="str">
        <f>IF(D46="","",IF(D46="重複","",COUNTIF(B$12:$B45,"&gt;0")+1))</f>
        <v/>
      </c>
      <c r="C46" s="713"/>
      <c r="D46" s="185"/>
      <c r="E46" s="185"/>
      <c r="F46" s="36"/>
      <c r="G46" s="47"/>
      <c r="H46" s="402">
        <f t="shared" si="112"/>
        <v>0</v>
      </c>
      <c r="I46" s="201" t="str">
        <f>IF($BJ46=0,"",DATEDIF($BJ46,参照データ!$D$16,"Y"))</f>
        <v/>
      </c>
      <c r="J46" s="41"/>
      <c r="K46" s="41"/>
      <c r="L46" s="41"/>
      <c r="M46" s="41"/>
      <c r="N46" s="41"/>
      <c r="O46" s="49"/>
      <c r="P46" s="395"/>
      <c r="Q46" s="51"/>
      <c r="R46" s="289"/>
      <c r="S46" s="289"/>
      <c r="T46" s="289"/>
      <c r="U46" s="290"/>
      <c r="V46" s="293"/>
      <c r="W46" s="295"/>
      <c r="Y46" s="446"/>
      <c r="Z46" s="396" t="str">
        <f>IF($Y46="オープン",VLOOKUP($CO46,参照データ!$D$69:$M$86,9,0),IF($Y46="選手権",VLOOKUP($FC46,参照データ!$D$92:$O$121,10,0),""))</f>
        <v/>
      </c>
      <c r="AA46" s="446"/>
      <c r="AB46" s="666" t="str">
        <f>IF($AA46="オープン",VLOOKUP($CO46,参照データ!$D$69:$M$86,10,0),IF($AA46="選手権",VLOOKUP($FC46,参照データ!$D$92:$O$121,11,0),""))</f>
        <v/>
      </c>
      <c r="AC46" s="669"/>
      <c r="AD46" s="396" t="str">
        <f>IF($AC46="オープン",VLOOKUP($CO46,参照データ!$D$69:$M$86,10,0),IF($AC46="選手権",VLOOKUP($FC46,参照データ!$D$92:$O$121,11,0),""))</f>
        <v/>
      </c>
      <c r="AE46" s="446"/>
      <c r="AF46" s="396" t="str">
        <f>IF($AE46="オープン",VLOOKUP($CO46,参照データ!$D$69:$M$86,10,0),IF($AE46="選手権",VLOOKUP($FJ46,参照データ!$D$92:$O$121,12,0),""))</f>
        <v/>
      </c>
      <c r="AG46" s="446"/>
      <c r="AH46" s="396" t="str">
        <f>IF($AG46="オープン",VLOOKUP($CO46,参照データ!$D$69:$M$86,10,0),IF($AG46="選手権",VLOOKUP($FJ46,参照データ!$D$92:$O$121,12,0),""))</f>
        <v/>
      </c>
      <c r="AI46" s="446"/>
      <c r="AJ46" s="449"/>
      <c r="AK46" s="396" t="str">
        <f t="shared" si="113"/>
        <v/>
      </c>
      <c r="AL46" s="587"/>
      <c r="AM46" s="588" t="str">
        <f>IF($BJ46=0,"",DATEDIF($BJ46,参照データ!$D$17,"Y"))</f>
        <v/>
      </c>
      <c r="AN46" s="450"/>
      <c r="AO46" s="591" t="str">
        <f>IF(AN46="","",IF($BK46="男子",VLOOKUP($DI46,参照データ!$D$128:$M$145,10,FALSE),VLOOKUP($DH46,参照データ!$D$128:$M$145,10,FALSE)))</f>
        <v/>
      </c>
      <c r="AP46" s="450"/>
      <c r="AQ46" s="591" t="str">
        <f>IF(AP46="","",IF($BK46="男子",VLOOKUP($DI46,参照データ!$D$128:$M$145,10,FALSE),VLOOKUP($DH46,参照データ!$D$128:$M$145,10,FALSE)))</f>
        <v/>
      </c>
      <c r="AR46" s="450"/>
      <c r="AS46" s="591" t="str">
        <f>IF(AR46="","",IF($BK46="男子",VLOOKUP($DI46,参照データ!$D$128:$M$145,10,FALSE),VLOOKUP($DH46,参照データ!$D$128:$M$145,10,FALSE)))</f>
        <v/>
      </c>
      <c r="AT46" s="450"/>
      <c r="AU46" s="591" t="str">
        <f>IF(AT46="","",IF($BK46="男子",VLOOKUP($DI46,参照データ!$D$128:$M$145,10,FALSE),VLOOKUP($DH46,参照データ!$D$128:$M$145,10,FALSE)))</f>
        <v/>
      </c>
      <c r="AV46" s="448"/>
      <c r="AW46" s="448"/>
      <c r="AX46" s="585" t="str">
        <f t="shared" si="25"/>
        <v/>
      </c>
      <c r="AY46" s="448"/>
      <c r="AZ46" s="448"/>
      <c r="BA46" s="585" t="str">
        <f t="shared" si="83"/>
        <v/>
      </c>
      <c r="BB46" s="677"/>
      <c r="BC46" s="724"/>
      <c r="BD46" s="640"/>
      <c r="BE46" s="482"/>
      <c r="BF46" s="365"/>
      <c r="BG46" s="366"/>
      <c r="BJ46">
        <f t="shared" si="75"/>
        <v>0</v>
      </c>
      <c r="BK46" t="str">
        <f t="shared" si="65"/>
        <v/>
      </c>
      <c r="BL46" s="146"/>
      <c r="BO46" s="61" t="str">
        <f>IF($BJ46=0,"",IF(AND($I46&gt;=6,$I46&lt;=19),VLOOKUP($I46,参照データ!$B$28:$C$41,2,0),IF($I46&lt;6,6,19)))</f>
        <v/>
      </c>
      <c r="BP46" s="178" t="str">
        <f>IF($J46=$BI$12,VLOOKUP($BO46,参照データ!$C$28:$I$41,2,0),"")</f>
        <v/>
      </c>
      <c r="BQ46" s="169" t="str">
        <f>IF($K46=$BI$12,VLOOKUP($BO46,参照データ!$C$28:$I$41,3,0),"")</f>
        <v/>
      </c>
      <c r="BR46" s="169" t="str">
        <f>IF($L46=$BI$12,VLOOKUP($BO46,参照データ!$C$28:$I$41,4,0),"")</f>
        <v/>
      </c>
      <c r="BS46" s="169" t="str">
        <f>IF($M46=$BI$12,VLOOKUP($BO46,参照データ!$C$28:$I$41,5,0),"")</f>
        <v/>
      </c>
      <c r="BT46" s="169" t="str">
        <f>IF($N46=$BI$12,VLOOKUP($BO46,参照データ!$C$28:$I$41,6,0),"")</f>
        <v/>
      </c>
      <c r="BU46" s="179" t="str">
        <f>IF($O46=$BI$12,VLOOKUP($BO46,参照データ!$C$28:$I$41,7,0),"")</f>
        <v/>
      </c>
      <c r="BV46" s="178" t="str">
        <f>IF($J46=$BI$13,VLOOKUP($BO46,参照データ!$C$28:$I$41,2,0),"")</f>
        <v/>
      </c>
      <c r="BW46" s="169" t="str">
        <f>IF($K46=$BI$13,VLOOKUP($BO46,参照データ!$C$28:$I$41,3,0),"")</f>
        <v/>
      </c>
      <c r="BX46" s="169" t="str">
        <f>IF($L46=$BI$13,VLOOKUP($BO46,参照データ!$C$28:$I$41,4,0),"")</f>
        <v/>
      </c>
      <c r="BY46" s="169" t="str">
        <f>IF($M46=$BI$13,VLOOKUP($BO46,参照データ!$C$28:$I$41,5,0),"")</f>
        <v/>
      </c>
      <c r="BZ46" s="169" t="str">
        <f>IF($N46=$BI$13,VLOOKUP($BO46,参照データ!$C$28:$I$41,6,0),"")</f>
        <v/>
      </c>
      <c r="CA46" s="179" t="str">
        <f>IF($O46=$BI$13,VLOOKUP($BO46,参照データ!$C$28:$I$41,7,0),"")</f>
        <v/>
      </c>
      <c r="CB46" s="271" t="str">
        <f t="shared" si="26"/>
        <v/>
      </c>
      <c r="CC46" s="177" t="str">
        <f>IF($Q46="入門",VLOOKUP($BO46,参照データ!$C$47:$U$60,2,0),IF($Q46="初級",VLOOKUP($BO46,参照データ!$C$47:$U$60,3,0),IF($Q46="中級",VLOOKUP($BO46,参照データ!$C$47:$U$60,4,0),IF($Q46="上級",VLOOKUP($BO46,参照データ!$C$47:$U$60,5,0),""))))</f>
        <v/>
      </c>
      <c r="CD46" s="177" t="str">
        <f>IF($R46="初級",VLOOKUP($BO46,参照データ!$C$47:$U$60,6,0),IF($R46="中級",VLOOKUP($BO46,参照データ!$C$47:$U$60,7,0),IF($R46="上級",VLOOKUP($BO46,参照データ!$C$47:$U$60,8,0),"")))</f>
        <v/>
      </c>
      <c r="CE46" s="177" t="str">
        <f>IF($S46="初級",VLOOKUP($BO46,参照データ!$C$47:$U$60,9,0),IF($S46="上級",VLOOKUP($BO46,参照データ!$C$47:$U$60,10,0),""))</f>
        <v/>
      </c>
      <c r="CF46" s="177" t="str">
        <f>IF($T46="初級",VLOOKUP($BO46,参照データ!$C$47:$U$60,11,0),IF($T46="中級",VLOOKUP($BO46,参照データ!$C$47:$U$60,12,0),IF($T46="上級",VLOOKUP($BO46,参照データ!$C$47:$U$60,13,0),"")))</f>
        <v/>
      </c>
      <c r="CG46" s="177" t="str">
        <f>IF($U46="初級",VLOOKUP($BO46,参照データ!$C$47:$U$60,14,0),IF($U46="中級",VLOOKUP($BO46,参照データ!$C$47:$U$60,15,0),IF($U46="上級",VLOOKUP($BO46,参照データ!$C$47:$U$60,16,0),"")))</f>
        <v/>
      </c>
      <c r="CH46" s="55" t="str">
        <f t="shared" si="5"/>
        <v/>
      </c>
      <c r="CI46" s="55" t="str">
        <f>IF($V46="初級",VLOOKUP($BO46,参照データ!$C$47:$U$60,17,0),IF($V46="中級",VLOOKUP($BO46,参照データ!$C$47:$U$60,18,0),IF($V46="上級",VLOOKUP($BO46,参照データ!$C$47:$U$60,19,0),"")))</f>
        <v/>
      </c>
      <c r="CJ46" s="867">
        <v>18</v>
      </c>
      <c r="CK46" s="74" t="s">
        <v>270</v>
      </c>
      <c r="CL46" s="151" t="str">
        <f t="shared" si="6"/>
        <v/>
      </c>
      <c r="CM46" s="871" t="str">
        <f t="shared" ref="CM46" si="126">IF(OR($CL46="",$CL47=""),"",IF($CL46&gt;$CL47,$CL46,$CL47))</f>
        <v/>
      </c>
      <c r="CO46" s="61">
        <f>IF(AND($BJ46&gt;=参照データ!$C$71,$BJ46&lt;=参照データ!$C$69),1,IF(AND($BJ46&gt;=参照データ!$C$74,$BJ46&lt;=参照データ!$C$72),2,IF(AND($BJ46&gt;=参照データ!$C$77,$BJ46&lt;=参照データ!$C$75),3,IF(AND($BJ46&gt;=参照データ!$C$80,$BJ46&lt;=参照データ!$C$78),4,IF(AND($BJ46&gt;=参照データ!$C$83,$BJ46&lt;=参照データ!$C$81),5,IF(AND($BJ46&gt;0,$BJ46&lt;=参照データ!$C$84),6,""))))))</f>
        <v>5</v>
      </c>
      <c r="CP46" s="160" t="str">
        <f>IF($Y46="オープン",(VLOOKUP($CO46,参照データ!$D$69:$J$86,2,0)),"")</f>
        <v/>
      </c>
      <c r="CQ46" s="79" t="str">
        <f t="shared" si="27"/>
        <v/>
      </c>
      <c r="CR46" s="78" t="str">
        <f>IF($AA46="オープン",(VLOOKUP($CO46,参照データ!$D$69:$J$86,3,0)),"")</f>
        <v/>
      </c>
      <c r="CS46" s="79" t="str">
        <f t="shared" si="28"/>
        <v/>
      </c>
      <c r="CT46" s="78" t="str">
        <f>IF($AC46="オープン",(VLOOKUP($CO46,参照データ!$D$69:$J$86,4,0)),"")</f>
        <v/>
      </c>
      <c r="CU46" s="79" t="str">
        <f t="shared" si="29"/>
        <v/>
      </c>
      <c r="CV46" s="78" t="str">
        <f>IF($AE46="オープン",(VLOOKUP($CO46,参照データ!$D$69:$J$86,5,0)),"")</f>
        <v/>
      </c>
      <c r="CW46" s="79" t="str">
        <f t="shared" si="7"/>
        <v/>
      </c>
      <c r="CX46" s="78" t="str">
        <f>IF($AG46="オープン",(VLOOKUP($CO46,参照データ!$D$69:$J$86,6,0)),"")</f>
        <v/>
      </c>
      <c r="CY46" s="79" t="str">
        <f t="shared" si="30"/>
        <v/>
      </c>
      <c r="CZ46" s="38" t="str">
        <f t="shared" si="31"/>
        <v/>
      </c>
      <c r="DA46" s="37" t="str">
        <f t="shared" si="32"/>
        <v/>
      </c>
      <c r="DB46" s="79" t="str">
        <f t="shared" si="33"/>
        <v/>
      </c>
      <c r="DC46" s="857">
        <v>18</v>
      </c>
      <c r="DD46" s="87" t="s">
        <v>120</v>
      </c>
      <c r="DE46" s="88" t="str">
        <f t="shared" si="34"/>
        <v/>
      </c>
      <c r="DF46" s="859" t="e">
        <f>IF($DE46&gt;$DE47,VLOOKUP($DE46,参照データ!$D$69:$J$86,7,0),VLOOKUP($DE47,参照データ!$D$69:$J$86,7,0))</f>
        <v>#N/A</v>
      </c>
      <c r="DG46" s="350" t="str">
        <f>IFERROR(VLOOKUP($DF46,参照データ!$J$69:$M$86,4,0),"")</f>
        <v/>
      </c>
      <c r="DH46" s="523">
        <f>IF(AND($BJ46&gt;=参照データ!$C$130,$BJ46&lt;=参照データ!$C$128),1,IF(AND($BJ46&gt;=参照データ!$C$133,$BJ46&lt;=参照データ!$C$131),2,IF(AND($BJ46&gt;=参照データ!$C$139,$BJ46&lt;=参照データ!$C$137),3,IF(AND($BJ46&gt;0,$BJ46&lt;=参照データ!$C$140),4,""))))</f>
        <v>1</v>
      </c>
      <c r="DI46" s="523">
        <f t="shared" si="35"/>
        <v>7</v>
      </c>
      <c r="DJ46" s="523" t="str">
        <f t="shared" si="36"/>
        <v/>
      </c>
      <c r="DK46" s="524" t="str">
        <f>IF($AN46="","",IF(AND($AN46="○",$BK46="男子"),VLOOKUP($DI46,参照データ!$D$128:$J$145,3,FALSE),VLOOKUP($DH46,参照データ!$D$128:$J$145,3,FALSE)))</f>
        <v/>
      </c>
      <c r="DL46" s="525" t="str">
        <f t="shared" si="37"/>
        <v/>
      </c>
      <c r="DM46" s="524" t="str">
        <f>IF($AP46="","",IF(AND($AP46="○",$BK46="男子"),VLOOKUP($DI46,参照データ!$D$128:$J$145,4,FALSE),VLOOKUP($DH46,参照データ!$D$128:$J$145,4,FALSE)))</f>
        <v/>
      </c>
      <c r="DN46" s="525" t="str">
        <f t="shared" si="38"/>
        <v/>
      </c>
      <c r="DO46" s="524" t="str">
        <f>IF($AR46="","",IF(AND($AR46="○",$BK46="男子"),VLOOKUP($DI46,参照データ!$D$128:$J$145,5,FALSE),VLOOKUP($DH46,参照データ!$D$128:$J$145,5,FALSE)))</f>
        <v/>
      </c>
      <c r="DP46" s="525" t="str">
        <f t="shared" si="39"/>
        <v/>
      </c>
      <c r="DQ46" s="524" t="str">
        <f>IF($AT46="","",IF(AND($AT46="○",$BK46="男子"),VLOOKUP($DI46,参照データ!$D$128:$J$145,6,FALSE),VLOOKUP($DH46,参照データ!$D$128:$J$145,6,FALSE)))</f>
        <v/>
      </c>
      <c r="DR46" s="525" t="str">
        <f t="shared" si="40"/>
        <v/>
      </c>
      <c r="DS46" s="526" t="str">
        <f t="shared" si="41"/>
        <v/>
      </c>
      <c r="DT46" s="527" t="str">
        <f t="shared" si="42"/>
        <v/>
      </c>
      <c r="DU46" s="528" t="str">
        <f t="shared" si="43"/>
        <v/>
      </c>
      <c r="DV46" s="982">
        <v>18</v>
      </c>
      <c r="DW46" s="533" t="s">
        <v>120</v>
      </c>
      <c r="DX46" s="534" t="str">
        <f t="shared" si="92"/>
        <v/>
      </c>
      <c r="DY46" s="877" t="e">
        <f>IF($DX46&gt;$DX47,VLOOKUP($DX46,参照データ!$D$128:$K$145,7,0),VLOOKUP($DX47,参照データ!$D$128:$K$145,7,0))</f>
        <v>#N/A</v>
      </c>
      <c r="DZ46" s="692" t="str">
        <f>IFERROR(VLOOKUP($DY46,参照データ!$J$128:$N$145,5,0),"")</f>
        <v/>
      </c>
      <c r="EA46" s="526" t="str">
        <f t="shared" si="85"/>
        <v/>
      </c>
      <c r="EB46" s="527" t="str">
        <f t="shared" si="86"/>
        <v/>
      </c>
      <c r="EC46" s="528" t="str">
        <f t="shared" si="87"/>
        <v/>
      </c>
      <c r="ED46" s="982">
        <v>18</v>
      </c>
      <c r="EE46" s="533" t="s">
        <v>120</v>
      </c>
      <c r="EF46" s="533" t="str">
        <f t="shared" si="88"/>
        <v/>
      </c>
      <c r="EG46" s="534" t="str">
        <f>IF(SUM(EF46:EF47)&lt;24,"",IF(SUM(EF46:EF47)&gt;=36,3,2))</f>
        <v/>
      </c>
      <c r="EH46" s="877" t="e">
        <f>IF($EG46&gt;$EG47,VLOOKUP($EG46,参照データ!$D$128:$K$145,8,0),VLOOKUP($EG47,参照データ!$D$128:$K$145,8,0))</f>
        <v>#N/A</v>
      </c>
      <c r="EI46" s="527" t="str">
        <f>IFERROR(VLOOKUP($EH46,参照データ!$K$128:$N$145,4,0),"")</f>
        <v/>
      </c>
      <c r="EJ46" s="555" t="str">
        <f t="shared" si="13"/>
        <v/>
      </c>
      <c r="EK46" s="556" t="str">
        <f t="shared" si="44"/>
        <v/>
      </c>
      <c r="EL46" s="846"/>
      <c r="EM46" s="561" t="s">
        <v>806</v>
      </c>
      <c r="EN46" s="562" t="str">
        <f t="shared" si="45"/>
        <v/>
      </c>
      <c r="EO46" s="849"/>
      <c r="EP46" s="555" t="str">
        <f t="shared" si="115"/>
        <v/>
      </c>
      <c r="EQ46" s="556" t="str">
        <f t="shared" si="46"/>
        <v/>
      </c>
      <c r="ER46" s="846"/>
      <c r="ES46" s="561" t="s">
        <v>806</v>
      </c>
      <c r="ET46" s="562" t="str">
        <f t="shared" si="47"/>
        <v/>
      </c>
      <c r="EU46" s="849"/>
      <c r="EV46" s="38" t="str">
        <f t="shared" si="116"/>
        <v/>
      </c>
      <c r="EW46" s="552" t="str">
        <f t="shared" si="48"/>
        <v/>
      </c>
      <c r="EX46" s="833"/>
      <c r="EY46" s="559" t="s">
        <v>767</v>
      </c>
      <c r="EZ46" s="560" t="str">
        <f t="shared" si="49"/>
        <v/>
      </c>
      <c r="FA46" s="835"/>
      <c r="FB46" t="str">
        <f>IF($FC46="","",DATEDIF($BJ46,参照データ!$D$19,"Y"))</f>
        <v/>
      </c>
      <c r="FC46" s="298" t="str">
        <f>IFERROR(IF($BK46="男子",VLOOKUP($FJ46,参照データ!$D$92:$E$118,2,0),$FJ46),0)</f>
        <v/>
      </c>
      <c r="FD46" s="92" t="str">
        <f>IF($Y46="選手権",(VLOOKUP($FC46,参照データ!$D$92:$K$121,3,0)),"")</f>
        <v/>
      </c>
      <c r="FE46" s="93" t="str">
        <f t="shared" si="117"/>
        <v/>
      </c>
      <c r="FF46" s="92" t="str">
        <f>IF($AA46="選手権",(VLOOKUP($FC46,参照データ!$D$92:$K$121,4,0)),"")</f>
        <v/>
      </c>
      <c r="FG46" s="93" t="str">
        <f t="shared" si="118"/>
        <v/>
      </c>
      <c r="FH46" s="92" t="str">
        <f>IF($AC46="選手権",(VLOOKUP($FC46,参照データ!$D$92:$K$121,5,0)),"")</f>
        <v/>
      </c>
      <c r="FI46" s="93" t="str">
        <f t="shared" si="119"/>
        <v/>
      </c>
      <c r="FJ46" s="61" t="str">
        <f>IF(AND($BJ46&gt;=参照データ!$C$94,$BJ46&lt;=参照データ!$C$92),1,IF(AND($BJ46&gt;=参照データ!$C$97,$BJ46&lt;=参照データ!$C$95),2,IF(AND($BJ46&gt;=参照データ!$C$103,$BJ46&lt;=参照データ!$C$101),3,IF(AND($BJ46&gt;=参照データ!$C$109,$BJ46&lt;=参照データ!$C$107),4,IF(AND($BJ46&gt;=参照データ!$C$115,$BJ46&lt;=参照データ!$C$113),5,IF(AND($BJ46&gt;0,$BJ46&lt;=参照データ!$C$116),6,""))))))</f>
        <v/>
      </c>
      <c r="FK46" s="92" t="str">
        <f>IF($AE46="選手権",(VLOOKUP($FJ46,参照データ!$D$92:$K$121,6,0)),"")</f>
        <v/>
      </c>
      <c r="FL46" s="93" t="str">
        <f t="shared" si="19"/>
        <v/>
      </c>
      <c r="FM46" s="92" t="str">
        <f>IF($AG46="選手権",(VLOOKUP($FJ46,参照データ!$D$92:$K$121,7,0)),"")</f>
        <v/>
      </c>
      <c r="FN46" s="93" t="str">
        <f t="shared" si="50"/>
        <v/>
      </c>
      <c r="FO46" s="38" t="str">
        <f t="shared" si="51"/>
        <v/>
      </c>
      <c r="FP46" s="37" t="str">
        <f t="shared" si="52"/>
        <v/>
      </c>
      <c r="FQ46" s="93" t="str">
        <f t="shared" si="53"/>
        <v/>
      </c>
      <c r="FR46" s="979">
        <v>18</v>
      </c>
      <c r="FS46" s="101" t="s">
        <v>120</v>
      </c>
      <c r="FT46" s="102" t="str">
        <f t="shared" si="120"/>
        <v/>
      </c>
      <c r="FU46" s="980" t="e">
        <f>IF($FT46&gt;$FT47,VLOOKUP($FT46,参照データ!$D$92:$K$121,8,0),VLOOKUP($FT47,参照データ!$D$92:$K$121,8,0))</f>
        <v>#N/A</v>
      </c>
      <c r="FV46" s="356" t="str">
        <f>IFERROR(VLOOKUP($FU46,参照データ!$K$92:$O$121,5,0),"")</f>
        <v/>
      </c>
      <c r="FY46" s="40">
        <f>(COUNTIF($J46:$O46,"&lt;&gt;"))*参照データ!$E$3</f>
        <v>0</v>
      </c>
      <c r="FZ46" s="267" t="str">
        <f>IF($P46="○",参照データ!$E$4,"")</f>
        <v/>
      </c>
      <c r="GA46" s="19">
        <f>(SUM(COUNTIF($Q46:$U46,{"入門","初級"}))*参照データ!$E$9)+(SUM(COUNTIF($Q46:$U46,{"中級","上級"})*参照データ!$E$10))</f>
        <v>0</v>
      </c>
      <c r="GB46" s="19">
        <f>IFERROR(VLOOKUP($V46,参照データ!$D$9:$J$11,7,0),0)</f>
        <v>0</v>
      </c>
      <c r="GC46" s="19">
        <f>((COUNTIF($Y46:$AG46,"オープン"))*参照データ!$E$12)</f>
        <v>0</v>
      </c>
      <c r="GD46" s="19" t="str">
        <f>(IF($AI46="オープン",参照データ!$J$12,""))</f>
        <v/>
      </c>
      <c r="GE46" s="19">
        <f>(COUNTIF($AN46:$AU46,"○")*参照データ!$E$22)</f>
        <v>0</v>
      </c>
      <c r="GF46" s="19">
        <f>(COUNTIF($AV46:$BA46,"○")*参照データ!$I$22)</f>
        <v>0</v>
      </c>
      <c r="GI46" s="19">
        <f>((COUNTIF($Y46:$AG46,"選手権"))*参照データ!$E$13)</f>
        <v>0</v>
      </c>
      <c r="GJ46" s="19" t="str">
        <f>(IF($AI46="選手権",参照データ!$J$13,""))</f>
        <v/>
      </c>
      <c r="GK46" s="106">
        <f t="array" ref="GK46">SUM(IF(ISERROR(FY46:GJ46),0,(FY46:GJ46)))</f>
        <v>0</v>
      </c>
      <c r="GL46" s="19"/>
      <c r="GM46" s="19">
        <f t="shared" si="54"/>
        <v>0</v>
      </c>
      <c r="GN46" s="19">
        <f t="shared" si="55"/>
        <v>0</v>
      </c>
      <c r="GO46" s="19">
        <f t="shared" si="56"/>
        <v>0</v>
      </c>
      <c r="GP46" s="19">
        <f t="shared" si="121"/>
        <v>0</v>
      </c>
      <c r="GQ46" s="19">
        <f t="shared" si="57"/>
        <v>0</v>
      </c>
      <c r="GR46" s="19">
        <f t="shared" si="58"/>
        <v>0</v>
      </c>
      <c r="GS46" s="19">
        <f t="shared" si="59"/>
        <v>0</v>
      </c>
      <c r="GT46" s="19">
        <f t="shared" si="60"/>
        <v>0</v>
      </c>
      <c r="GU46" s="19">
        <f t="shared" si="61"/>
        <v>0</v>
      </c>
      <c r="GV46" t="str">
        <f t="shared" si="122"/>
        <v/>
      </c>
      <c r="GW46" t="str">
        <f t="shared" si="62"/>
        <v/>
      </c>
      <c r="GX46" t="str">
        <f t="shared" si="123"/>
        <v/>
      </c>
      <c r="GY46" t="str">
        <f t="shared" si="63"/>
        <v/>
      </c>
      <c r="GZ46" t="str">
        <f t="shared" si="124"/>
        <v/>
      </c>
    </row>
    <row r="47" spans="1:208" ht="18.75" customHeight="1" x14ac:dyDescent="0.15">
      <c r="A47">
        <v>36</v>
      </c>
      <c r="B47" s="15" t="str">
        <f>IF(D47="","",IF(D47="重複","",COUNTIF(B$12:$B46,"&gt;0")+1))</f>
        <v/>
      </c>
      <c r="C47" s="713"/>
      <c r="D47" s="185"/>
      <c r="E47" s="185"/>
      <c r="F47" s="36"/>
      <c r="G47" s="47"/>
      <c r="H47" s="402">
        <f t="shared" si="112"/>
        <v>0</v>
      </c>
      <c r="I47" s="201" t="str">
        <f>IF($BJ47=0,"",DATEDIF($BJ47,参照データ!$D$16,"Y"))</f>
        <v/>
      </c>
      <c r="J47" s="41"/>
      <c r="K47" s="41"/>
      <c r="L47" s="41"/>
      <c r="M47" s="41"/>
      <c r="N47" s="41"/>
      <c r="O47" s="49"/>
      <c r="P47" s="395"/>
      <c r="Q47" s="51"/>
      <c r="R47" s="289"/>
      <c r="S47" s="289"/>
      <c r="T47" s="289"/>
      <c r="U47" s="290"/>
      <c r="V47" s="293"/>
      <c r="W47" s="295"/>
      <c r="Y47" s="446"/>
      <c r="Z47" s="396" t="str">
        <f>IF($Y47="オープン",VLOOKUP($CO47,参照データ!$D$69:$M$86,9,0),IF($Y47="選手権",VLOOKUP($FC47,参照データ!$D$92:$O$121,10,0),""))</f>
        <v/>
      </c>
      <c r="AA47" s="446"/>
      <c r="AB47" s="666" t="str">
        <f>IF($AA47="オープン",VLOOKUP($CO47,参照データ!$D$69:$M$86,10,0),IF($AA47="選手権",VLOOKUP($FC47,参照データ!$D$92:$O$121,11,0),""))</f>
        <v/>
      </c>
      <c r="AC47" s="669"/>
      <c r="AD47" s="396" t="str">
        <f>IF($AC47="オープン",VLOOKUP($CO47,参照データ!$D$69:$M$86,10,0),IF($AC47="選手権",VLOOKUP($FC47,参照データ!$D$92:$O$121,11,0),""))</f>
        <v/>
      </c>
      <c r="AE47" s="446"/>
      <c r="AF47" s="396" t="str">
        <f>IF($AE47="オープン",VLOOKUP($CO47,参照データ!$D$69:$M$86,10,0),IF($AE47="選手権",VLOOKUP($FJ47,参照データ!$D$92:$O$121,12,0),""))</f>
        <v/>
      </c>
      <c r="AG47" s="446"/>
      <c r="AH47" s="396" t="str">
        <f>IF($AG47="オープン",VLOOKUP($CO47,参照データ!$D$69:$M$86,10,0),IF($AG47="選手権",VLOOKUP($FJ47,参照データ!$D$92:$O$121,12,0),""))</f>
        <v/>
      </c>
      <c r="AI47" s="446"/>
      <c r="AJ47" s="449"/>
      <c r="AK47" s="396" t="str">
        <f t="shared" si="113"/>
        <v/>
      </c>
      <c r="AL47" s="587"/>
      <c r="AM47" s="588" t="str">
        <f>IF($BJ47=0,"",DATEDIF($BJ47,参照データ!$D$17,"Y"))</f>
        <v/>
      </c>
      <c r="AN47" s="450"/>
      <c r="AO47" s="591" t="str">
        <f>IF(AN47="","",IF($BK47="男子",VLOOKUP($DI47,参照データ!$D$128:$M$145,10,FALSE),VLOOKUP($DH47,参照データ!$D$128:$M$145,10,FALSE)))</f>
        <v/>
      </c>
      <c r="AP47" s="450"/>
      <c r="AQ47" s="591" t="str">
        <f>IF(AP47="","",IF($BK47="男子",VLOOKUP($DI47,参照データ!$D$128:$M$145,10,FALSE),VLOOKUP($DH47,参照データ!$D$128:$M$145,10,FALSE)))</f>
        <v/>
      </c>
      <c r="AR47" s="450"/>
      <c r="AS47" s="591" t="str">
        <f>IF(AR47="","",IF($BK47="男子",VLOOKUP($DI47,参照データ!$D$128:$M$145,10,FALSE),VLOOKUP($DH47,参照データ!$D$128:$M$145,10,FALSE)))</f>
        <v/>
      </c>
      <c r="AT47" s="450"/>
      <c r="AU47" s="591" t="str">
        <f>IF(AT47="","",IF($BK47="男子",VLOOKUP($DI47,参照データ!$D$128:$M$145,10,FALSE),VLOOKUP($DH47,参照データ!$D$128:$M$145,10,FALSE)))</f>
        <v/>
      </c>
      <c r="AV47" s="448"/>
      <c r="AW47" s="448"/>
      <c r="AX47" s="585" t="str">
        <f t="shared" si="25"/>
        <v/>
      </c>
      <c r="AY47" s="448"/>
      <c r="AZ47" s="448"/>
      <c r="BA47" s="585" t="str">
        <f t="shared" si="83"/>
        <v/>
      </c>
      <c r="BB47" s="677"/>
      <c r="BC47" s="724"/>
      <c r="BD47" s="640"/>
      <c r="BE47" s="482"/>
      <c r="BF47" s="365"/>
      <c r="BG47" s="366"/>
      <c r="BJ47">
        <f t="shared" si="75"/>
        <v>0</v>
      </c>
      <c r="BK47" t="str">
        <f t="shared" si="65"/>
        <v/>
      </c>
      <c r="BL47" s="146"/>
      <c r="BO47" s="61" t="str">
        <f>IF($BJ47=0,"",IF(AND($I47&gt;=6,$I47&lt;=19),VLOOKUP($I47,参照データ!$B$28:$C$41,2,0),IF($I47&lt;6,6,19)))</f>
        <v/>
      </c>
      <c r="BP47" s="178" t="str">
        <f>IF($J47=$BI$12,VLOOKUP($BO47,参照データ!$C$28:$I$41,2,0),"")</f>
        <v/>
      </c>
      <c r="BQ47" s="169" t="str">
        <f>IF($K47=$BI$12,VLOOKUP($BO47,参照データ!$C$28:$I$41,3,0),"")</f>
        <v/>
      </c>
      <c r="BR47" s="169" t="str">
        <f>IF($L47=$BI$12,VLOOKUP($BO47,参照データ!$C$28:$I$41,4,0),"")</f>
        <v/>
      </c>
      <c r="BS47" s="169" t="str">
        <f>IF($M47=$BI$12,VLOOKUP($BO47,参照データ!$C$28:$I$41,5,0),"")</f>
        <v/>
      </c>
      <c r="BT47" s="169" t="str">
        <f>IF($N47=$BI$12,VLOOKUP($BO47,参照データ!$C$28:$I$41,6,0),"")</f>
        <v/>
      </c>
      <c r="BU47" s="179" t="str">
        <f>IF($O47=$BI$12,VLOOKUP($BO47,参照データ!$C$28:$I$41,7,0),"")</f>
        <v/>
      </c>
      <c r="BV47" s="178" t="str">
        <f>IF($J47=$BI$13,VLOOKUP($BO47,参照データ!$C$28:$I$41,2,0),"")</f>
        <v/>
      </c>
      <c r="BW47" s="169" t="str">
        <f>IF($K47=$BI$13,VLOOKUP($BO47,参照データ!$C$28:$I$41,3,0),"")</f>
        <v/>
      </c>
      <c r="BX47" s="169" t="str">
        <f>IF($L47=$BI$13,VLOOKUP($BO47,参照データ!$C$28:$I$41,4,0),"")</f>
        <v/>
      </c>
      <c r="BY47" s="169" t="str">
        <f>IF($M47=$BI$13,VLOOKUP($BO47,参照データ!$C$28:$I$41,5,0),"")</f>
        <v/>
      </c>
      <c r="BZ47" s="169" t="str">
        <f>IF($N47=$BI$13,VLOOKUP($BO47,参照データ!$C$28:$I$41,6,0),"")</f>
        <v/>
      </c>
      <c r="CA47" s="179" t="str">
        <f>IF($O47=$BI$13,VLOOKUP($BO47,参照データ!$C$28:$I$41,7,0),"")</f>
        <v/>
      </c>
      <c r="CB47" s="271" t="str">
        <f t="shared" si="26"/>
        <v/>
      </c>
      <c r="CC47" s="177" t="str">
        <f>IF($Q47="入門",VLOOKUP($BO47,参照データ!$C$47:$U$60,2,0),IF($Q47="初級",VLOOKUP($BO47,参照データ!$C$47:$U$60,3,0),IF($Q47="中級",VLOOKUP($BO47,参照データ!$C$47:$U$60,4,0),IF($Q47="上級",VLOOKUP($BO47,参照データ!$C$47:$U$60,5,0),""))))</f>
        <v/>
      </c>
      <c r="CD47" s="177" t="str">
        <f>IF($R47="初級",VLOOKUP($BO47,参照データ!$C$47:$U$60,6,0),IF($R47="中級",VLOOKUP($BO47,参照データ!$C$47:$U$60,7,0),IF($R47="上級",VLOOKUP($BO47,参照データ!$C$47:$U$60,8,0),"")))</f>
        <v/>
      </c>
      <c r="CE47" s="177" t="str">
        <f>IF($S47="初級",VLOOKUP($BO47,参照データ!$C$47:$U$60,9,0),IF($S47="上級",VLOOKUP($BO47,参照データ!$C$47:$U$60,10,0),""))</f>
        <v/>
      </c>
      <c r="CF47" s="177" t="str">
        <f>IF($T47="初級",VLOOKUP($BO47,参照データ!$C$47:$U$60,11,0),IF($T47="中級",VLOOKUP($BO47,参照データ!$C$47:$U$60,12,0),IF($T47="上級",VLOOKUP($BO47,参照データ!$C$47:$U$60,13,0),"")))</f>
        <v/>
      </c>
      <c r="CG47" s="177" t="str">
        <f>IF($U47="初級",VLOOKUP($BO47,参照データ!$C$47:$U$60,14,0),IF($U47="中級",VLOOKUP($BO47,参照データ!$C$47:$U$60,15,0),IF($U47="上級",VLOOKUP($BO47,参照データ!$C$47:$U$60,16,0),"")))</f>
        <v/>
      </c>
      <c r="CH47" s="55" t="str">
        <f t="shared" si="5"/>
        <v/>
      </c>
      <c r="CI47" s="55" t="str">
        <f>IF($V47="初級",VLOOKUP($BO47,参照データ!$C$47:$U$60,17,0),IF($V47="中級",VLOOKUP($BO47,参照データ!$C$47:$U$60,18,0),IF($V47="上級",VLOOKUP($BO47,参照データ!$C$47:$U$60,19,0),"")))</f>
        <v/>
      </c>
      <c r="CJ47" s="868"/>
      <c r="CK47" s="73" t="s">
        <v>271</v>
      </c>
      <c r="CL47" s="150" t="str">
        <f t="shared" si="6"/>
        <v/>
      </c>
      <c r="CM47" s="872"/>
      <c r="CO47" s="61">
        <f>IF(AND($BJ47&gt;=参照データ!$C$71,$BJ47&lt;=参照データ!$C$69),1,IF(AND($BJ47&gt;=参照データ!$C$74,$BJ47&lt;=参照データ!$C$72),2,IF(AND($BJ47&gt;=参照データ!$C$77,$BJ47&lt;=参照データ!$C$75),3,IF(AND($BJ47&gt;=参照データ!$C$80,$BJ47&lt;=参照データ!$C$78),4,IF(AND($BJ47&gt;=参照データ!$C$83,$BJ47&lt;=参照データ!$C$81),5,IF(AND($BJ47&gt;0,$BJ47&lt;=参照データ!$C$84),6,""))))))</f>
        <v>5</v>
      </c>
      <c r="CP47" s="160" t="str">
        <f>IF($Y47="オープン",(VLOOKUP($CO47,参照データ!$D$69:$J$86,2,0)),"")</f>
        <v/>
      </c>
      <c r="CQ47" s="79" t="str">
        <f t="shared" si="27"/>
        <v/>
      </c>
      <c r="CR47" s="78" t="str">
        <f>IF($AA47="オープン",(VLOOKUP($CO47,参照データ!$D$69:$J$86,3,0)),"")</f>
        <v/>
      </c>
      <c r="CS47" s="79" t="str">
        <f t="shared" si="28"/>
        <v/>
      </c>
      <c r="CT47" s="78" t="str">
        <f>IF($AC47="オープン",(VLOOKUP($CO47,参照データ!$D$69:$J$86,4,0)),"")</f>
        <v/>
      </c>
      <c r="CU47" s="79" t="str">
        <f t="shared" si="29"/>
        <v/>
      </c>
      <c r="CV47" s="78" t="str">
        <f>IF($AE47="オープン",(VLOOKUP($CO47,参照データ!$D$69:$J$86,5,0)),"")</f>
        <v/>
      </c>
      <c r="CW47" s="79" t="str">
        <f t="shared" si="7"/>
        <v/>
      </c>
      <c r="CX47" s="78" t="str">
        <f>IF($AG47="オープン",(VLOOKUP($CO47,参照データ!$D$69:$J$86,6,0)),"")</f>
        <v/>
      </c>
      <c r="CY47" s="79" t="str">
        <f t="shared" si="30"/>
        <v/>
      </c>
      <c r="CZ47" s="38" t="str">
        <f t="shared" si="31"/>
        <v/>
      </c>
      <c r="DA47" s="37" t="str">
        <f t="shared" si="32"/>
        <v/>
      </c>
      <c r="DB47" s="79" t="str">
        <f t="shared" si="33"/>
        <v/>
      </c>
      <c r="DC47" s="858"/>
      <c r="DD47" s="85" t="s">
        <v>121</v>
      </c>
      <c r="DE47" s="86" t="str">
        <f t="shared" si="34"/>
        <v/>
      </c>
      <c r="DF47" s="860"/>
      <c r="DG47" s="350" t="str">
        <f t="shared" ref="DG47" si="127">$DG46</f>
        <v/>
      </c>
      <c r="DH47" s="523">
        <f>IF(AND($BJ47&gt;=参照データ!$C$130,$BJ47&lt;=参照データ!$C$128),1,IF(AND($BJ47&gt;=参照データ!$C$133,$BJ47&lt;=参照データ!$C$131),2,IF(AND($BJ47&gt;=参照データ!$C$139,$BJ47&lt;=参照データ!$C$137),3,IF(AND($BJ47&gt;0,$BJ47&lt;=参照データ!$C$140),4,""))))</f>
        <v>1</v>
      </c>
      <c r="DI47" s="523">
        <f t="shared" si="35"/>
        <v>7</v>
      </c>
      <c r="DJ47" s="523" t="str">
        <f t="shared" si="36"/>
        <v/>
      </c>
      <c r="DK47" s="524" t="str">
        <f>IF($AN47="","",IF(AND($AN47="○",$BK47="男子"),VLOOKUP($DI47,参照データ!$D$128:$J$145,3,FALSE),VLOOKUP($DH47,参照データ!$D$128:$J$145,3,FALSE)))</f>
        <v/>
      </c>
      <c r="DL47" s="525" t="str">
        <f t="shared" si="37"/>
        <v/>
      </c>
      <c r="DM47" s="524" t="str">
        <f>IF($AP47="","",IF(AND($AP47="○",$BK47="男子"),VLOOKUP($DI47,参照データ!$D$128:$J$145,4,FALSE),VLOOKUP($DH47,参照データ!$D$128:$J$145,4,FALSE)))</f>
        <v/>
      </c>
      <c r="DN47" s="525" t="str">
        <f t="shared" si="38"/>
        <v/>
      </c>
      <c r="DO47" s="524" t="str">
        <f>IF($AR47="","",IF(AND($AR47="○",$BK47="男子"),VLOOKUP($DI47,参照データ!$D$128:$J$145,5,FALSE),VLOOKUP($DH47,参照データ!$D$128:$J$145,5,FALSE)))</f>
        <v/>
      </c>
      <c r="DP47" s="525" t="str">
        <f t="shared" si="39"/>
        <v/>
      </c>
      <c r="DQ47" s="524" t="str">
        <f>IF($AT47="","",IF(AND($AT47="○",$BK47="男子"),VLOOKUP($DI47,参照データ!$D$128:$J$145,6,FALSE),VLOOKUP($DH47,参照データ!$D$128:$J$145,6,FALSE)))</f>
        <v/>
      </c>
      <c r="DR47" s="525" t="str">
        <f t="shared" si="40"/>
        <v/>
      </c>
      <c r="DS47" s="526" t="str">
        <f t="shared" si="41"/>
        <v/>
      </c>
      <c r="DT47" s="527" t="str">
        <f t="shared" si="42"/>
        <v/>
      </c>
      <c r="DU47" s="528" t="str">
        <f t="shared" si="43"/>
        <v/>
      </c>
      <c r="DV47" s="983"/>
      <c r="DW47" s="531" t="s">
        <v>121</v>
      </c>
      <c r="DX47" s="532" t="str">
        <f t="shared" si="92"/>
        <v/>
      </c>
      <c r="DY47" s="994"/>
      <c r="DZ47" s="692" t="str">
        <f>$DZ46</f>
        <v/>
      </c>
      <c r="EA47" s="526" t="str">
        <f t="shared" si="85"/>
        <v/>
      </c>
      <c r="EB47" s="527" t="str">
        <f t="shared" si="86"/>
        <v/>
      </c>
      <c r="EC47" s="528" t="str">
        <f t="shared" si="87"/>
        <v/>
      </c>
      <c r="ED47" s="983"/>
      <c r="EE47" s="531" t="s">
        <v>121</v>
      </c>
      <c r="EF47" s="531" t="str">
        <f t="shared" si="88"/>
        <v/>
      </c>
      <c r="EG47" s="532" t="str">
        <f>IF(SUM(EF46:EF47)&lt;24,"",IF(SUM(EF46:EF47)&gt;=36,3,2))</f>
        <v/>
      </c>
      <c r="EH47" s="994"/>
      <c r="EI47" s="527" t="str">
        <f>$EI46</f>
        <v/>
      </c>
      <c r="EJ47" s="555" t="str">
        <f t="shared" si="13"/>
        <v/>
      </c>
      <c r="EK47" s="556" t="str">
        <f t="shared" si="44"/>
        <v/>
      </c>
      <c r="EL47" s="846"/>
      <c r="EM47" s="561" t="s">
        <v>807</v>
      </c>
      <c r="EN47" s="562" t="str">
        <f t="shared" si="45"/>
        <v/>
      </c>
      <c r="EO47" s="849"/>
      <c r="EP47" s="555" t="str">
        <f t="shared" si="115"/>
        <v/>
      </c>
      <c r="EQ47" s="556" t="str">
        <f t="shared" si="46"/>
        <v/>
      </c>
      <c r="ER47" s="846"/>
      <c r="ES47" s="561" t="s">
        <v>807</v>
      </c>
      <c r="ET47" s="562" t="str">
        <f t="shared" si="47"/>
        <v/>
      </c>
      <c r="EU47" s="849"/>
      <c r="EV47" s="38" t="str">
        <f t="shared" si="116"/>
        <v/>
      </c>
      <c r="EW47" s="552" t="str">
        <f t="shared" si="48"/>
        <v/>
      </c>
      <c r="EX47" s="833"/>
      <c r="EY47" s="559" t="s">
        <v>769</v>
      </c>
      <c r="EZ47" s="560" t="str">
        <f t="shared" si="49"/>
        <v/>
      </c>
      <c r="FA47" s="835"/>
      <c r="FB47" t="str">
        <f>IF($FC47="","",DATEDIF($BJ47,参照データ!$D$19,"Y"))</f>
        <v/>
      </c>
      <c r="FC47" s="298" t="str">
        <f>IFERROR(IF($BK47="男子",VLOOKUP($FJ47,参照データ!$D$92:$E$118,2,0),$FJ47),0)</f>
        <v/>
      </c>
      <c r="FD47" s="92" t="str">
        <f>IF($Y47="選手権",(VLOOKUP($FC47,参照データ!$D$92:$K$121,3,0)),"")</f>
        <v/>
      </c>
      <c r="FE47" s="93" t="str">
        <f t="shared" si="117"/>
        <v/>
      </c>
      <c r="FF47" s="92" t="str">
        <f>IF($AA47="選手権",(VLOOKUP($FC47,参照データ!$D$92:$K$121,4,0)),"")</f>
        <v/>
      </c>
      <c r="FG47" s="93" t="str">
        <f t="shared" si="118"/>
        <v/>
      </c>
      <c r="FH47" s="92" t="str">
        <f>IF($AC47="選手権",(VLOOKUP($FC47,参照データ!$D$92:$K$121,5,0)),"")</f>
        <v/>
      </c>
      <c r="FI47" s="93" t="str">
        <f t="shared" si="119"/>
        <v/>
      </c>
      <c r="FJ47" s="61" t="str">
        <f>IF(AND($BJ47&gt;=参照データ!$C$94,$BJ47&lt;=参照データ!$C$92),1,IF(AND($BJ47&gt;=参照データ!$C$97,$BJ47&lt;=参照データ!$C$95),2,IF(AND($BJ47&gt;=参照データ!$C$103,$BJ47&lt;=参照データ!$C$101),3,IF(AND($BJ47&gt;=参照データ!$C$109,$BJ47&lt;=参照データ!$C$107),4,IF(AND($BJ47&gt;=参照データ!$C$115,$BJ47&lt;=参照データ!$C$113),5,IF(AND($BJ47&gt;0,$BJ47&lt;=参照データ!$C$116),6,""))))))</f>
        <v/>
      </c>
      <c r="FK47" s="92" t="str">
        <f>IF($AE47="選手権",(VLOOKUP($FJ47,参照データ!$D$92:$K$121,6,0)),"")</f>
        <v/>
      </c>
      <c r="FL47" s="93" t="str">
        <f t="shared" si="19"/>
        <v/>
      </c>
      <c r="FM47" s="92" t="str">
        <f>IF($AG47="選手権",(VLOOKUP($FJ47,参照データ!$D$92:$K$121,7,0)),"")</f>
        <v/>
      </c>
      <c r="FN47" s="93" t="str">
        <f t="shared" si="50"/>
        <v/>
      </c>
      <c r="FO47" s="38" t="str">
        <f t="shared" si="51"/>
        <v/>
      </c>
      <c r="FP47" s="37" t="str">
        <f t="shared" si="52"/>
        <v/>
      </c>
      <c r="FQ47" s="93" t="str">
        <f t="shared" si="53"/>
        <v/>
      </c>
      <c r="FR47" s="976"/>
      <c r="FS47" s="99" t="s">
        <v>121</v>
      </c>
      <c r="FT47" s="100" t="str">
        <f t="shared" si="120"/>
        <v/>
      </c>
      <c r="FU47" s="978"/>
      <c r="FV47" s="356" t="str">
        <f t="shared" si="99"/>
        <v/>
      </c>
      <c r="FY47" s="40">
        <f>(COUNTIF($J47:$O47,"&lt;&gt;"))*参照データ!$E$3</f>
        <v>0</v>
      </c>
      <c r="FZ47" s="267" t="str">
        <f>IF($P47="○",参照データ!$E$4,"")</f>
        <v/>
      </c>
      <c r="GA47" s="19">
        <f>(SUM(COUNTIF($Q47:$U47,{"入門","初級"}))*参照データ!$E$9)+(SUM(COUNTIF($Q47:$U47,{"中級","上級"})*参照データ!$E$10))</f>
        <v>0</v>
      </c>
      <c r="GB47" s="19">
        <f>IFERROR(VLOOKUP($V47,参照データ!$D$9:$J$11,7,0),0)</f>
        <v>0</v>
      </c>
      <c r="GC47" s="19">
        <f>((COUNTIF($Y47:$AG47,"オープン"))*参照データ!$E$12)</f>
        <v>0</v>
      </c>
      <c r="GD47" s="19" t="str">
        <f>(IF($AI47="オープン",参照データ!$J$12,""))</f>
        <v/>
      </c>
      <c r="GE47" s="19">
        <f>(COUNTIF($AN47:$AU47,"○")*参照データ!$E$22)</f>
        <v>0</v>
      </c>
      <c r="GF47" s="19">
        <f>(COUNTIF($AV47:$BA47,"○")*参照データ!$I$22)</f>
        <v>0</v>
      </c>
      <c r="GI47" s="19">
        <f>((COUNTIF($Y47:$AG47,"選手権"))*参照データ!$E$13)</f>
        <v>0</v>
      </c>
      <c r="GJ47" s="19" t="str">
        <f>(IF($AI47="選手権",参照データ!$J$13,""))</f>
        <v/>
      </c>
      <c r="GK47" s="106">
        <f t="array" ref="GK47">SUM(IF(ISERROR(FY47:GJ47),0,(FY47:GJ47)))</f>
        <v>0</v>
      </c>
      <c r="GL47" s="19"/>
      <c r="GM47" s="19">
        <f t="shared" si="54"/>
        <v>0</v>
      </c>
      <c r="GN47" s="19">
        <f t="shared" si="55"/>
        <v>0</v>
      </c>
      <c r="GO47" s="19">
        <f t="shared" si="56"/>
        <v>0</v>
      </c>
      <c r="GP47" s="19">
        <f t="shared" si="121"/>
        <v>0</v>
      </c>
      <c r="GQ47" s="19">
        <f t="shared" si="57"/>
        <v>0</v>
      </c>
      <c r="GR47" s="19">
        <f t="shared" si="58"/>
        <v>0</v>
      </c>
      <c r="GS47" s="19">
        <f t="shared" si="59"/>
        <v>0</v>
      </c>
      <c r="GT47" s="19">
        <f t="shared" si="60"/>
        <v>0</v>
      </c>
      <c r="GU47" s="19">
        <f t="shared" si="61"/>
        <v>0</v>
      </c>
      <c r="GV47" t="str">
        <f t="shared" si="122"/>
        <v/>
      </c>
      <c r="GW47" t="str">
        <f t="shared" si="62"/>
        <v/>
      </c>
      <c r="GX47" t="str">
        <f t="shared" si="123"/>
        <v/>
      </c>
      <c r="GY47" t="str">
        <f t="shared" si="63"/>
        <v/>
      </c>
      <c r="GZ47" t="str">
        <f t="shared" si="124"/>
        <v/>
      </c>
    </row>
    <row r="48" spans="1:208" ht="18.75" customHeight="1" x14ac:dyDescent="0.15">
      <c r="A48">
        <v>37</v>
      </c>
      <c r="B48" s="15" t="str">
        <f>IF(D48="","",IF(D48="重複","",COUNTIF(B$12:$B47,"&gt;0")+1))</f>
        <v/>
      </c>
      <c r="C48" s="713"/>
      <c r="D48" s="185"/>
      <c r="E48" s="185"/>
      <c r="F48" s="36"/>
      <c r="G48" s="47"/>
      <c r="H48" s="402">
        <f t="shared" si="112"/>
        <v>0</v>
      </c>
      <c r="I48" s="201" t="str">
        <f>IF($BJ48=0,"",DATEDIF($BJ48,参照データ!$D$16,"Y"))</f>
        <v/>
      </c>
      <c r="J48" s="41"/>
      <c r="K48" s="41"/>
      <c r="L48" s="41"/>
      <c r="M48" s="41"/>
      <c r="N48" s="41"/>
      <c r="O48" s="49"/>
      <c r="P48" s="395"/>
      <c r="Q48" s="51"/>
      <c r="R48" s="289"/>
      <c r="S48" s="289"/>
      <c r="T48" s="289"/>
      <c r="U48" s="290"/>
      <c r="V48" s="293"/>
      <c r="W48" s="295"/>
      <c r="Y48" s="446"/>
      <c r="Z48" s="396" t="str">
        <f>IF($Y48="オープン",VLOOKUP($CO48,参照データ!$D$69:$M$86,9,0),IF($Y48="選手権",VLOOKUP($FC48,参照データ!$D$92:$O$121,10,0),""))</f>
        <v/>
      </c>
      <c r="AA48" s="446"/>
      <c r="AB48" s="666" t="str">
        <f>IF($AA48="オープン",VLOOKUP($CO48,参照データ!$D$69:$M$86,10,0),IF($AA48="選手権",VLOOKUP($FC48,参照データ!$D$92:$O$121,11,0),""))</f>
        <v/>
      </c>
      <c r="AC48" s="669"/>
      <c r="AD48" s="396" t="str">
        <f>IF($AC48="オープン",VLOOKUP($CO48,参照データ!$D$69:$M$86,10,0),IF($AC48="選手権",VLOOKUP($FC48,参照データ!$D$92:$O$121,11,0),""))</f>
        <v/>
      </c>
      <c r="AE48" s="446"/>
      <c r="AF48" s="396" t="str">
        <f>IF($AE48="オープン",VLOOKUP($CO48,参照データ!$D$69:$M$86,10,0),IF($AE48="選手権",VLOOKUP($FJ48,参照データ!$D$92:$O$121,12,0),""))</f>
        <v/>
      </c>
      <c r="AG48" s="446"/>
      <c r="AH48" s="396" t="str">
        <f>IF($AG48="オープン",VLOOKUP($CO48,参照データ!$D$69:$M$86,10,0),IF($AG48="選手権",VLOOKUP($FJ48,参照データ!$D$92:$O$121,12,0),""))</f>
        <v/>
      </c>
      <c r="AI48" s="446"/>
      <c r="AJ48" s="449"/>
      <c r="AK48" s="396" t="str">
        <f t="shared" si="113"/>
        <v/>
      </c>
      <c r="AL48" s="587"/>
      <c r="AM48" s="588" t="str">
        <f>IF($BJ48=0,"",DATEDIF($BJ48,参照データ!$D$17,"Y"))</f>
        <v/>
      </c>
      <c r="AN48" s="450"/>
      <c r="AO48" s="591" t="str">
        <f>IF(AN48="","",IF($BK48="男子",VLOOKUP($DI48,参照データ!$D$128:$M$145,10,FALSE),VLOOKUP($DH48,参照データ!$D$128:$M$145,10,FALSE)))</f>
        <v/>
      </c>
      <c r="AP48" s="450"/>
      <c r="AQ48" s="591" t="str">
        <f>IF(AP48="","",IF($BK48="男子",VLOOKUP($DI48,参照データ!$D$128:$M$145,10,FALSE),VLOOKUP($DH48,参照データ!$D$128:$M$145,10,FALSE)))</f>
        <v/>
      </c>
      <c r="AR48" s="450"/>
      <c r="AS48" s="591" t="str">
        <f>IF(AR48="","",IF($BK48="男子",VLOOKUP($DI48,参照データ!$D$128:$M$145,10,FALSE),VLOOKUP($DH48,参照データ!$D$128:$M$145,10,FALSE)))</f>
        <v/>
      </c>
      <c r="AT48" s="450"/>
      <c r="AU48" s="591" t="str">
        <f>IF(AT48="","",IF($BK48="男子",VLOOKUP($DI48,参照データ!$D$128:$M$145,10,FALSE),VLOOKUP($DH48,参照データ!$D$128:$M$145,10,FALSE)))</f>
        <v/>
      </c>
      <c r="AV48" s="448"/>
      <c r="AW48" s="448"/>
      <c r="AX48" s="585" t="str">
        <f t="shared" si="25"/>
        <v/>
      </c>
      <c r="AY48" s="448"/>
      <c r="AZ48" s="448"/>
      <c r="BA48" s="585" t="str">
        <f t="shared" si="83"/>
        <v/>
      </c>
      <c r="BB48" s="677"/>
      <c r="BC48" s="724"/>
      <c r="BD48" s="640"/>
      <c r="BE48" s="482"/>
      <c r="BF48" s="365"/>
      <c r="BG48" s="366"/>
      <c r="BJ48">
        <f t="shared" si="75"/>
        <v>0</v>
      </c>
      <c r="BK48" t="str">
        <f t="shared" si="65"/>
        <v/>
      </c>
      <c r="BL48" s="146"/>
      <c r="BO48" s="61" t="str">
        <f>IF($BJ48=0,"",IF(AND($I48&gt;=6,$I48&lt;=19),VLOOKUP($I48,参照データ!$B$28:$C$41,2,0),IF($I48&lt;6,6,19)))</f>
        <v/>
      </c>
      <c r="BP48" s="178" t="str">
        <f>IF($J48=$BI$12,VLOOKUP($BO48,参照データ!$C$28:$I$41,2,0),"")</f>
        <v/>
      </c>
      <c r="BQ48" s="169" t="str">
        <f>IF($K48=$BI$12,VLOOKUP($BO48,参照データ!$C$28:$I$41,3,0),"")</f>
        <v/>
      </c>
      <c r="BR48" s="169" t="str">
        <f>IF($L48=$BI$12,VLOOKUP($BO48,参照データ!$C$28:$I$41,4,0),"")</f>
        <v/>
      </c>
      <c r="BS48" s="169" t="str">
        <f>IF($M48=$BI$12,VLOOKUP($BO48,参照データ!$C$28:$I$41,5,0),"")</f>
        <v/>
      </c>
      <c r="BT48" s="169" t="str">
        <f>IF($N48=$BI$12,VLOOKUP($BO48,参照データ!$C$28:$I$41,6,0),"")</f>
        <v/>
      </c>
      <c r="BU48" s="179" t="str">
        <f>IF($O48=$BI$12,VLOOKUP($BO48,参照データ!$C$28:$I$41,7,0),"")</f>
        <v/>
      </c>
      <c r="BV48" s="178" t="str">
        <f>IF($J48=$BI$13,VLOOKUP($BO48,参照データ!$C$28:$I$41,2,0),"")</f>
        <v/>
      </c>
      <c r="BW48" s="169" t="str">
        <f>IF($K48=$BI$13,VLOOKUP($BO48,参照データ!$C$28:$I$41,3,0),"")</f>
        <v/>
      </c>
      <c r="BX48" s="169" t="str">
        <f>IF($L48=$BI$13,VLOOKUP($BO48,参照データ!$C$28:$I$41,4,0),"")</f>
        <v/>
      </c>
      <c r="BY48" s="169" t="str">
        <f>IF($M48=$BI$13,VLOOKUP($BO48,参照データ!$C$28:$I$41,5,0),"")</f>
        <v/>
      </c>
      <c r="BZ48" s="169" t="str">
        <f>IF($N48=$BI$13,VLOOKUP($BO48,参照データ!$C$28:$I$41,6,0),"")</f>
        <v/>
      </c>
      <c r="CA48" s="179" t="str">
        <f>IF($O48=$BI$13,VLOOKUP($BO48,参照データ!$C$28:$I$41,7,0),"")</f>
        <v/>
      </c>
      <c r="CB48" s="271" t="str">
        <f t="shared" si="26"/>
        <v/>
      </c>
      <c r="CC48" s="177" t="str">
        <f>IF($Q48="入門",VLOOKUP($BO48,参照データ!$C$47:$U$60,2,0),IF($Q48="初級",VLOOKUP($BO48,参照データ!$C$47:$U$60,3,0),IF($Q48="中級",VLOOKUP($BO48,参照データ!$C$47:$U$60,4,0),IF($Q48="上級",VLOOKUP($BO48,参照データ!$C$47:$U$60,5,0),""))))</f>
        <v/>
      </c>
      <c r="CD48" s="177" t="str">
        <f>IF($R48="初級",VLOOKUP($BO48,参照データ!$C$47:$U$60,6,0),IF($R48="中級",VLOOKUP($BO48,参照データ!$C$47:$U$60,7,0),IF($R48="上級",VLOOKUP($BO48,参照データ!$C$47:$U$60,8,0),"")))</f>
        <v/>
      </c>
      <c r="CE48" s="177" t="str">
        <f>IF($S48="初級",VLOOKUP($BO48,参照データ!$C$47:$U$60,9,0),IF($S48="上級",VLOOKUP($BO48,参照データ!$C$47:$U$60,10,0),""))</f>
        <v/>
      </c>
      <c r="CF48" s="177" t="str">
        <f>IF($T48="初級",VLOOKUP($BO48,参照データ!$C$47:$U$60,11,0),IF($T48="中級",VLOOKUP($BO48,参照データ!$C$47:$U$60,12,0),IF($T48="上級",VLOOKUP($BO48,参照データ!$C$47:$U$60,13,0),"")))</f>
        <v/>
      </c>
      <c r="CG48" s="177" t="str">
        <f>IF($U48="初級",VLOOKUP($BO48,参照データ!$C$47:$U$60,14,0),IF($U48="中級",VLOOKUP($BO48,参照データ!$C$47:$U$60,15,0),IF($U48="上級",VLOOKUP($BO48,参照データ!$C$47:$U$60,16,0),"")))</f>
        <v/>
      </c>
      <c r="CH48" s="55" t="str">
        <f t="shared" si="5"/>
        <v/>
      </c>
      <c r="CI48" s="55" t="str">
        <f>IF($V48="初級",VLOOKUP($BO48,参照データ!$C$47:$U$60,17,0),IF($V48="中級",VLOOKUP($BO48,参照データ!$C$47:$U$60,18,0),IF($V48="上級",VLOOKUP($BO48,参照データ!$C$47:$U$60,19,0),"")))</f>
        <v/>
      </c>
      <c r="CJ48" s="867">
        <v>19</v>
      </c>
      <c r="CK48" s="74" t="s">
        <v>272</v>
      </c>
      <c r="CL48" s="151" t="str">
        <f t="shared" si="6"/>
        <v/>
      </c>
      <c r="CM48" s="871" t="str">
        <f t="shared" ref="CM48" si="128">IF(OR($CL48="",$CL49=""),"",IF($CL48&gt;$CL49,$CL48,$CL49))</f>
        <v/>
      </c>
      <c r="CO48" s="61">
        <f>IF(AND($BJ48&gt;=参照データ!$C$71,$BJ48&lt;=参照データ!$C$69),1,IF(AND($BJ48&gt;=参照データ!$C$74,$BJ48&lt;=参照データ!$C$72),2,IF(AND($BJ48&gt;=参照データ!$C$77,$BJ48&lt;=参照データ!$C$75),3,IF(AND($BJ48&gt;=参照データ!$C$80,$BJ48&lt;=参照データ!$C$78),4,IF(AND($BJ48&gt;=参照データ!$C$83,$BJ48&lt;=参照データ!$C$81),5,IF(AND($BJ48&gt;0,$BJ48&lt;=参照データ!$C$84),6,""))))))</f>
        <v>5</v>
      </c>
      <c r="CP48" s="160" t="str">
        <f>IF($Y48="オープン",(VLOOKUP($CO48,参照データ!$D$69:$J$86,2,0)),"")</f>
        <v/>
      </c>
      <c r="CQ48" s="79" t="str">
        <f t="shared" si="27"/>
        <v/>
      </c>
      <c r="CR48" s="78" t="str">
        <f>IF($AA48="オープン",(VLOOKUP($CO48,参照データ!$D$69:$J$86,3,0)),"")</f>
        <v/>
      </c>
      <c r="CS48" s="79" t="str">
        <f t="shared" si="28"/>
        <v/>
      </c>
      <c r="CT48" s="78" t="str">
        <f>IF($AC48="オープン",(VLOOKUP($CO48,参照データ!$D$69:$J$86,4,0)),"")</f>
        <v/>
      </c>
      <c r="CU48" s="79" t="str">
        <f t="shared" si="29"/>
        <v/>
      </c>
      <c r="CV48" s="78" t="str">
        <f>IF($AE48="オープン",(VLOOKUP($CO48,参照データ!$D$69:$J$86,5,0)),"")</f>
        <v/>
      </c>
      <c r="CW48" s="79" t="str">
        <f t="shared" si="7"/>
        <v/>
      </c>
      <c r="CX48" s="78" t="str">
        <f>IF($AG48="オープン",(VLOOKUP($CO48,参照データ!$D$69:$J$86,6,0)),"")</f>
        <v/>
      </c>
      <c r="CY48" s="79" t="str">
        <f t="shared" si="30"/>
        <v/>
      </c>
      <c r="CZ48" s="38" t="str">
        <f t="shared" si="31"/>
        <v/>
      </c>
      <c r="DA48" s="37" t="str">
        <f t="shared" si="32"/>
        <v/>
      </c>
      <c r="DB48" s="79" t="str">
        <f t="shared" si="33"/>
        <v/>
      </c>
      <c r="DC48" s="857">
        <v>19</v>
      </c>
      <c r="DD48" s="87" t="s">
        <v>122</v>
      </c>
      <c r="DE48" s="88" t="str">
        <f t="shared" si="34"/>
        <v/>
      </c>
      <c r="DF48" s="859" t="e">
        <f>IF($DE48&gt;$DE49,VLOOKUP($DE48,参照データ!$D$69:$J$86,7,0),VLOOKUP($DE49,参照データ!$D$69:$J$86,7,0))</f>
        <v>#N/A</v>
      </c>
      <c r="DG48" s="350" t="str">
        <f>IFERROR(VLOOKUP($DF48,参照データ!$J$69:$M$86,4,0),"")</f>
        <v/>
      </c>
      <c r="DH48" s="523">
        <f>IF(AND($BJ48&gt;=参照データ!$C$130,$BJ48&lt;=参照データ!$C$128),1,IF(AND($BJ48&gt;=参照データ!$C$133,$BJ48&lt;=参照データ!$C$131),2,IF(AND($BJ48&gt;=参照データ!$C$139,$BJ48&lt;=参照データ!$C$137),3,IF(AND($BJ48&gt;0,$BJ48&lt;=参照データ!$C$140),4,""))))</f>
        <v>1</v>
      </c>
      <c r="DI48" s="523">
        <f t="shared" si="35"/>
        <v>7</v>
      </c>
      <c r="DJ48" s="523" t="str">
        <f t="shared" si="36"/>
        <v/>
      </c>
      <c r="DK48" s="524" t="str">
        <f>IF($AN48="","",IF(AND($AN48="○",$BK48="男子"),VLOOKUP($DI48,参照データ!$D$128:$J$145,3,FALSE),VLOOKUP($DH48,参照データ!$D$128:$J$145,3,FALSE)))</f>
        <v/>
      </c>
      <c r="DL48" s="525" t="str">
        <f t="shared" si="37"/>
        <v/>
      </c>
      <c r="DM48" s="524" t="str">
        <f>IF($AP48="","",IF(AND($AP48="○",$BK48="男子"),VLOOKUP($DI48,参照データ!$D$128:$J$145,4,FALSE),VLOOKUP($DH48,参照データ!$D$128:$J$145,4,FALSE)))</f>
        <v/>
      </c>
      <c r="DN48" s="525" t="str">
        <f t="shared" si="38"/>
        <v/>
      </c>
      <c r="DO48" s="524" t="str">
        <f>IF($AR48="","",IF(AND($AR48="○",$BK48="男子"),VLOOKUP($DI48,参照データ!$D$128:$J$145,5,FALSE),VLOOKUP($DH48,参照データ!$D$128:$J$145,5,FALSE)))</f>
        <v/>
      </c>
      <c r="DP48" s="525" t="str">
        <f t="shared" si="39"/>
        <v/>
      </c>
      <c r="DQ48" s="524" t="str">
        <f>IF($AT48="","",IF(AND($AT48="○",$BK48="男子"),VLOOKUP($DI48,参照データ!$D$128:$J$145,6,FALSE),VLOOKUP($DH48,参照データ!$D$128:$J$145,6,FALSE)))</f>
        <v/>
      </c>
      <c r="DR48" s="525" t="str">
        <f t="shared" si="40"/>
        <v/>
      </c>
      <c r="DS48" s="526" t="str">
        <f t="shared" si="41"/>
        <v/>
      </c>
      <c r="DT48" s="527" t="str">
        <f t="shared" si="42"/>
        <v/>
      </c>
      <c r="DU48" s="528" t="str">
        <f t="shared" si="43"/>
        <v/>
      </c>
      <c r="DV48" s="982">
        <v>19</v>
      </c>
      <c r="DW48" s="533" t="s">
        <v>122</v>
      </c>
      <c r="DX48" s="534" t="str">
        <f t="shared" si="92"/>
        <v/>
      </c>
      <c r="DY48" s="877" t="e">
        <f>IF($DX48&gt;$DX49,VLOOKUP($DX48,参照データ!$D$128:$K$145,7,0),VLOOKUP($DX49,参照データ!$D$128:$K$145,7,0))</f>
        <v>#N/A</v>
      </c>
      <c r="DZ48" s="692" t="str">
        <f>IFERROR(VLOOKUP($DY48,参照データ!$J$128:$N$145,5,0),"")</f>
        <v/>
      </c>
      <c r="EA48" s="526" t="str">
        <f t="shared" si="85"/>
        <v/>
      </c>
      <c r="EB48" s="527" t="str">
        <f t="shared" si="86"/>
        <v/>
      </c>
      <c r="EC48" s="528" t="str">
        <f t="shared" si="87"/>
        <v/>
      </c>
      <c r="ED48" s="982">
        <v>19</v>
      </c>
      <c r="EE48" s="533" t="s">
        <v>122</v>
      </c>
      <c r="EF48" s="533" t="str">
        <f t="shared" si="88"/>
        <v/>
      </c>
      <c r="EG48" s="534" t="str">
        <f>IF(SUM(EF48:EF49)&lt;24,"",IF(SUM(EF48:EF49)&gt;=36,3,2))</f>
        <v/>
      </c>
      <c r="EH48" s="877" t="e">
        <f>IF($EG48&gt;$EG49,VLOOKUP($EG48,参照データ!$D$128:$K$145,8,0),VLOOKUP($EG49,参照データ!$D$128:$K$145,8,0))</f>
        <v>#N/A</v>
      </c>
      <c r="EI48" s="527" t="str">
        <f>IFERROR(VLOOKUP($EH48,参照データ!$K$128:$N$145,4,0),"")</f>
        <v/>
      </c>
      <c r="EJ48" s="555" t="str">
        <f t="shared" si="13"/>
        <v/>
      </c>
      <c r="EK48" s="556" t="str">
        <f t="shared" si="44"/>
        <v/>
      </c>
      <c r="EL48" s="846"/>
      <c r="EM48" s="561" t="s">
        <v>808</v>
      </c>
      <c r="EN48" s="562" t="str">
        <f t="shared" si="45"/>
        <v/>
      </c>
      <c r="EO48" s="849"/>
      <c r="EP48" s="555" t="str">
        <f t="shared" si="115"/>
        <v/>
      </c>
      <c r="EQ48" s="556" t="str">
        <f t="shared" si="46"/>
        <v/>
      </c>
      <c r="ER48" s="846"/>
      <c r="ES48" s="561" t="s">
        <v>808</v>
      </c>
      <c r="ET48" s="562" t="str">
        <f t="shared" si="47"/>
        <v/>
      </c>
      <c r="EU48" s="849"/>
      <c r="EV48" s="38" t="str">
        <f t="shared" si="116"/>
        <v/>
      </c>
      <c r="EW48" s="552" t="str">
        <f t="shared" si="48"/>
        <v/>
      </c>
      <c r="EX48" s="833"/>
      <c r="EY48" s="559" t="s">
        <v>771</v>
      </c>
      <c r="EZ48" s="560" t="str">
        <f t="shared" si="49"/>
        <v/>
      </c>
      <c r="FA48" s="835"/>
      <c r="FB48" t="str">
        <f>IF($FC48="","",DATEDIF($BJ48,参照データ!$D$19,"Y"))</f>
        <v/>
      </c>
      <c r="FC48" s="298" t="str">
        <f>IFERROR(IF($BK48="男子",VLOOKUP($FJ48,参照データ!$D$92:$E$118,2,0),$FJ48),0)</f>
        <v/>
      </c>
      <c r="FD48" s="92" t="str">
        <f>IF($Y48="選手権",(VLOOKUP($FC48,参照データ!$D$92:$K$121,3,0)),"")</f>
        <v/>
      </c>
      <c r="FE48" s="93" t="str">
        <f t="shared" si="117"/>
        <v/>
      </c>
      <c r="FF48" s="92" t="str">
        <f>IF($AA48="選手権",(VLOOKUP($FC48,参照データ!$D$92:$K$121,4,0)),"")</f>
        <v/>
      </c>
      <c r="FG48" s="93" t="str">
        <f t="shared" si="118"/>
        <v/>
      </c>
      <c r="FH48" s="92" t="str">
        <f>IF($AC48="選手権",(VLOOKUP($FC48,参照データ!$D$92:$K$121,5,0)),"")</f>
        <v/>
      </c>
      <c r="FI48" s="93" t="str">
        <f t="shared" si="119"/>
        <v/>
      </c>
      <c r="FJ48" s="61" t="str">
        <f>IF(AND($BJ48&gt;=参照データ!$C$94,$BJ48&lt;=参照データ!$C$92),1,IF(AND($BJ48&gt;=参照データ!$C$97,$BJ48&lt;=参照データ!$C$95),2,IF(AND($BJ48&gt;=参照データ!$C$103,$BJ48&lt;=参照データ!$C$101),3,IF(AND($BJ48&gt;=参照データ!$C$109,$BJ48&lt;=参照データ!$C$107),4,IF(AND($BJ48&gt;=参照データ!$C$115,$BJ48&lt;=参照データ!$C$113),5,IF(AND($BJ48&gt;0,$BJ48&lt;=参照データ!$C$116),6,""))))))</f>
        <v/>
      </c>
      <c r="FK48" s="92" t="str">
        <f>IF($AE48="選手権",(VLOOKUP($FJ48,参照データ!$D$92:$K$121,6,0)),"")</f>
        <v/>
      </c>
      <c r="FL48" s="93" t="str">
        <f t="shared" si="19"/>
        <v/>
      </c>
      <c r="FM48" s="92" t="str">
        <f>IF($AG48="選手権",(VLOOKUP($FJ48,参照データ!$D$92:$K$121,7,0)),"")</f>
        <v/>
      </c>
      <c r="FN48" s="93" t="str">
        <f t="shared" si="50"/>
        <v/>
      </c>
      <c r="FO48" s="38" t="str">
        <f t="shared" si="51"/>
        <v/>
      </c>
      <c r="FP48" s="37" t="str">
        <f t="shared" si="52"/>
        <v/>
      </c>
      <c r="FQ48" s="93" t="str">
        <f t="shared" si="53"/>
        <v/>
      </c>
      <c r="FR48" s="979">
        <v>19</v>
      </c>
      <c r="FS48" s="101" t="s">
        <v>122</v>
      </c>
      <c r="FT48" s="102" t="str">
        <f t="shared" si="120"/>
        <v/>
      </c>
      <c r="FU48" s="980" t="e">
        <f>IF($FT48&gt;$FT49,VLOOKUP($FT48,参照データ!$D$92:$K$121,8,0),VLOOKUP($FT49,参照データ!$D$92:$K$121,8,0))</f>
        <v>#N/A</v>
      </c>
      <c r="FV48" s="356" t="str">
        <f>IFERROR(VLOOKUP($FU48,参照データ!$K$92:$O$121,5,0),"")</f>
        <v/>
      </c>
      <c r="FY48" s="40">
        <f>(COUNTIF($J48:$O48,"&lt;&gt;"))*参照データ!$E$3</f>
        <v>0</v>
      </c>
      <c r="FZ48" s="267" t="str">
        <f>IF($P48="○",参照データ!$E$4,"")</f>
        <v/>
      </c>
      <c r="GA48" s="19">
        <f>(SUM(COUNTIF($Q48:$U48,{"入門","初級"}))*参照データ!$E$9)+(SUM(COUNTIF($Q48:$U48,{"中級","上級"})*参照データ!$E$10))</f>
        <v>0</v>
      </c>
      <c r="GB48" s="19">
        <f>IFERROR(VLOOKUP($V48,参照データ!$D$9:$J$11,7,0),0)</f>
        <v>0</v>
      </c>
      <c r="GC48" s="19">
        <f>((COUNTIF($Y48:$AG48,"オープン"))*参照データ!$E$12)</f>
        <v>0</v>
      </c>
      <c r="GD48" s="19" t="str">
        <f>(IF($AI48="オープン",参照データ!$J$12,""))</f>
        <v/>
      </c>
      <c r="GE48" s="19">
        <f>(COUNTIF($AN48:$AU48,"○")*参照データ!$E$22)</f>
        <v>0</v>
      </c>
      <c r="GF48" s="19">
        <f>(COUNTIF($AV48:$BA48,"○")*参照データ!$I$22)</f>
        <v>0</v>
      </c>
      <c r="GI48" s="19">
        <f>((COUNTIF($Y48:$AG48,"選手権"))*参照データ!$E$13)</f>
        <v>0</v>
      </c>
      <c r="GJ48" s="19" t="str">
        <f>(IF($AI48="選手権",参照データ!$J$13,""))</f>
        <v/>
      </c>
      <c r="GK48" s="106">
        <f t="array" ref="GK48">SUM(IF(ISERROR(FY48:GJ48),0,(FY48:GJ48)))</f>
        <v>0</v>
      </c>
      <c r="GL48" s="19"/>
      <c r="GM48" s="19">
        <f t="shared" si="54"/>
        <v>0</v>
      </c>
      <c r="GN48" s="19">
        <f t="shared" si="55"/>
        <v>0</v>
      </c>
      <c r="GO48" s="19">
        <f t="shared" si="56"/>
        <v>0</v>
      </c>
      <c r="GP48" s="19">
        <f t="shared" si="121"/>
        <v>0</v>
      </c>
      <c r="GQ48" s="19">
        <f t="shared" si="57"/>
        <v>0</v>
      </c>
      <c r="GR48" s="19">
        <f t="shared" si="58"/>
        <v>0</v>
      </c>
      <c r="GS48" s="19">
        <f t="shared" si="59"/>
        <v>0</v>
      </c>
      <c r="GT48" s="19">
        <f t="shared" si="60"/>
        <v>0</v>
      </c>
      <c r="GU48" s="19">
        <f t="shared" si="61"/>
        <v>0</v>
      </c>
      <c r="GV48" t="str">
        <f t="shared" si="122"/>
        <v/>
      </c>
      <c r="GW48" t="str">
        <f t="shared" si="62"/>
        <v/>
      </c>
      <c r="GX48" t="str">
        <f t="shared" si="123"/>
        <v/>
      </c>
      <c r="GY48" t="str">
        <f t="shared" si="63"/>
        <v/>
      </c>
      <c r="GZ48" t="str">
        <f t="shared" si="124"/>
        <v/>
      </c>
    </row>
    <row r="49" spans="1:208" ht="18.75" customHeight="1" x14ac:dyDescent="0.15">
      <c r="A49">
        <v>38</v>
      </c>
      <c r="B49" s="15" t="str">
        <f>IF(D49="","",IF(D49="重複","",COUNTIF(B$12:$B48,"&gt;0")+1))</f>
        <v/>
      </c>
      <c r="C49" s="713"/>
      <c r="D49" s="185"/>
      <c r="E49" s="185"/>
      <c r="F49" s="36"/>
      <c r="G49" s="47"/>
      <c r="H49" s="402">
        <f t="shared" si="112"/>
        <v>0</v>
      </c>
      <c r="I49" s="201" t="str">
        <f>IF($BJ49=0,"",DATEDIF($BJ49,参照データ!$D$16,"Y"))</f>
        <v/>
      </c>
      <c r="J49" s="41"/>
      <c r="K49" s="41"/>
      <c r="L49" s="41"/>
      <c r="M49" s="41"/>
      <c r="N49" s="41"/>
      <c r="O49" s="49"/>
      <c r="P49" s="395"/>
      <c r="Q49" s="51"/>
      <c r="R49" s="289"/>
      <c r="S49" s="289"/>
      <c r="T49" s="289"/>
      <c r="U49" s="290"/>
      <c r="V49" s="293"/>
      <c r="W49" s="295"/>
      <c r="Y49" s="446"/>
      <c r="Z49" s="396" t="str">
        <f>IF($Y49="オープン",VLOOKUP($CO49,参照データ!$D$69:$M$86,9,0),IF($Y49="選手権",VLOOKUP($FC49,参照データ!$D$92:$O$121,10,0),""))</f>
        <v/>
      </c>
      <c r="AA49" s="446"/>
      <c r="AB49" s="666" t="str">
        <f>IF($AA49="オープン",VLOOKUP($CO49,参照データ!$D$69:$M$86,10,0),IF($AA49="選手権",VLOOKUP($FC49,参照データ!$D$92:$O$121,11,0),""))</f>
        <v/>
      </c>
      <c r="AC49" s="669"/>
      <c r="AD49" s="396" t="str">
        <f>IF($AC49="オープン",VLOOKUP($CO49,参照データ!$D$69:$M$86,10,0),IF($AC49="選手権",VLOOKUP($FC49,参照データ!$D$92:$O$121,11,0),""))</f>
        <v/>
      </c>
      <c r="AE49" s="446"/>
      <c r="AF49" s="396" t="str">
        <f>IF($AE49="オープン",VLOOKUP($CO49,参照データ!$D$69:$M$86,10,0),IF($AE49="選手権",VLOOKUP($FJ49,参照データ!$D$92:$O$121,12,0),""))</f>
        <v/>
      </c>
      <c r="AG49" s="446"/>
      <c r="AH49" s="396" t="str">
        <f>IF($AG49="オープン",VLOOKUP($CO49,参照データ!$D$69:$M$86,10,0),IF($AG49="選手権",VLOOKUP($FJ49,参照データ!$D$92:$O$121,12,0),""))</f>
        <v/>
      </c>
      <c r="AI49" s="446"/>
      <c r="AJ49" s="449"/>
      <c r="AK49" s="396" t="str">
        <f t="shared" si="113"/>
        <v/>
      </c>
      <c r="AL49" s="587"/>
      <c r="AM49" s="588" t="str">
        <f>IF($BJ49=0,"",DATEDIF($BJ49,参照データ!$D$17,"Y"))</f>
        <v/>
      </c>
      <c r="AN49" s="450"/>
      <c r="AO49" s="591" t="str">
        <f>IF(AN49="","",IF($BK49="男子",VLOOKUP($DI49,参照データ!$D$128:$M$145,10,FALSE),VLOOKUP($DH49,参照データ!$D$128:$M$145,10,FALSE)))</f>
        <v/>
      </c>
      <c r="AP49" s="450"/>
      <c r="AQ49" s="591" t="str">
        <f>IF(AP49="","",IF($BK49="男子",VLOOKUP($DI49,参照データ!$D$128:$M$145,10,FALSE),VLOOKUP($DH49,参照データ!$D$128:$M$145,10,FALSE)))</f>
        <v/>
      </c>
      <c r="AR49" s="450"/>
      <c r="AS49" s="591" t="str">
        <f>IF(AR49="","",IF($BK49="男子",VLOOKUP($DI49,参照データ!$D$128:$M$145,10,FALSE),VLOOKUP($DH49,参照データ!$D$128:$M$145,10,FALSE)))</f>
        <v/>
      </c>
      <c r="AT49" s="450"/>
      <c r="AU49" s="591" t="str">
        <f>IF(AT49="","",IF($BK49="男子",VLOOKUP($DI49,参照データ!$D$128:$M$145,10,FALSE),VLOOKUP($DH49,参照データ!$D$128:$M$145,10,FALSE)))</f>
        <v/>
      </c>
      <c r="AV49" s="448"/>
      <c r="AW49" s="448"/>
      <c r="AX49" s="585" t="str">
        <f t="shared" si="25"/>
        <v/>
      </c>
      <c r="AY49" s="448"/>
      <c r="AZ49" s="448"/>
      <c r="BA49" s="585" t="str">
        <f t="shared" si="83"/>
        <v/>
      </c>
      <c r="BB49" s="677"/>
      <c r="BC49" s="724"/>
      <c r="BD49" s="640"/>
      <c r="BE49" s="482"/>
      <c r="BF49" s="365"/>
      <c r="BG49" s="366"/>
      <c r="BJ49">
        <f t="shared" si="75"/>
        <v>0</v>
      </c>
      <c r="BK49" t="str">
        <f t="shared" si="65"/>
        <v/>
      </c>
      <c r="BL49" s="146"/>
      <c r="BO49" s="61" t="str">
        <f>IF($BJ49=0,"",IF(AND($I49&gt;=6,$I49&lt;=19),VLOOKUP($I49,参照データ!$B$28:$C$41,2,0),IF($I49&lt;6,6,19)))</f>
        <v/>
      </c>
      <c r="BP49" s="178" t="str">
        <f>IF($J49=$BI$12,VLOOKUP($BO49,参照データ!$C$28:$I$41,2,0),"")</f>
        <v/>
      </c>
      <c r="BQ49" s="169" t="str">
        <f>IF($K49=$BI$12,VLOOKUP($BO49,参照データ!$C$28:$I$41,3,0),"")</f>
        <v/>
      </c>
      <c r="BR49" s="169" t="str">
        <f>IF($L49=$BI$12,VLOOKUP($BO49,参照データ!$C$28:$I$41,4,0),"")</f>
        <v/>
      </c>
      <c r="BS49" s="169" t="str">
        <f>IF($M49=$BI$12,VLOOKUP($BO49,参照データ!$C$28:$I$41,5,0),"")</f>
        <v/>
      </c>
      <c r="BT49" s="169" t="str">
        <f>IF($N49=$BI$12,VLOOKUP($BO49,参照データ!$C$28:$I$41,6,0),"")</f>
        <v/>
      </c>
      <c r="BU49" s="179" t="str">
        <f>IF($O49=$BI$12,VLOOKUP($BO49,参照データ!$C$28:$I$41,7,0),"")</f>
        <v/>
      </c>
      <c r="BV49" s="178" t="str">
        <f>IF($J49=$BI$13,VLOOKUP($BO49,参照データ!$C$28:$I$41,2,0),"")</f>
        <v/>
      </c>
      <c r="BW49" s="169" t="str">
        <f>IF($K49=$BI$13,VLOOKUP($BO49,参照データ!$C$28:$I$41,3,0),"")</f>
        <v/>
      </c>
      <c r="BX49" s="169" t="str">
        <f>IF($L49=$BI$13,VLOOKUP($BO49,参照データ!$C$28:$I$41,4,0),"")</f>
        <v/>
      </c>
      <c r="BY49" s="169" t="str">
        <f>IF($M49=$BI$13,VLOOKUP($BO49,参照データ!$C$28:$I$41,5,0),"")</f>
        <v/>
      </c>
      <c r="BZ49" s="169" t="str">
        <f>IF($N49=$BI$13,VLOOKUP($BO49,参照データ!$C$28:$I$41,6,0),"")</f>
        <v/>
      </c>
      <c r="CA49" s="179" t="str">
        <f>IF($O49=$BI$13,VLOOKUP($BO49,参照データ!$C$28:$I$41,7,0),"")</f>
        <v/>
      </c>
      <c r="CB49" s="271" t="str">
        <f t="shared" si="26"/>
        <v/>
      </c>
      <c r="CC49" s="177" t="str">
        <f>IF($Q49="入門",VLOOKUP($BO49,参照データ!$C$47:$U$60,2,0),IF($Q49="初級",VLOOKUP($BO49,参照データ!$C$47:$U$60,3,0),IF($Q49="中級",VLOOKUP($BO49,参照データ!$C$47:$U$60,4,0),IF($Q49="上級",VLOOKUP($BO49,参照データ!$C$47:$U$60,5,0),""))))</f>
        <v/>
      </c>
      <c r="CD49" s="177" t="str">
        <f>IF($R49="初級",VLOOKUP($BO49,参照データ!$C$47:$U$60,6,0),IF($R49="中級",VLOOKUP($BO49,参照データ!$C$47:$U$60,7,0),IF($R49="上級",VLOOKUP($BO49,参照データ!$C$47:$U$60,8,0),"")))</f>
        <v/>
      </c>
      <c r="CE49" s="177" t="str">
        <f>IF($S49="初級",VLOOKUP($BO49,参照データ!$C$47:$U$60,9,0),IF($S49="上級",VLOOKUP($BO49,参照データ!$C$47:$U$60,10,0),""))</f>
        <v/>
      </c>
      <c r="CF49" s="177" t="str">
        <f>IF($T49="初級",VLOOKUP($BO49,参照データ!$C$47:$U$60,11,0),IF($T49="中級",VLOOKUP($BO49,参照データ!$C$47:$U$60,12,0),IF($T49="上級",VLOOKUP($BO49,参照データ!$C$47:$U$60,13,0),"")))</f>
        <v/>
      </c>
      <c r="CG49" s="177" t="str">
        <f>IF($U49="初級",VLOOKUP($BO49,参照データ!$C$47:$U$60,14,0),IF($U49="中級",VLOOKUP($BO49,参照データ!$C$47:$U$60,15,0),IF($U49="上級",VLOOKUP($BO49,参照データ!$C$47:$U$60,16,0),"")))</f>
        <v/>
      </c>
      <c r="CH49" s="55" t="str">
        <f t="shared" si="5"/>
        <v/>
      </c>
      <c r="CI49" s="55" t="str">
        <f>IF($V49="初級",VLOOKUP($BO49,参照データ!$C$47:$U$60,17,0),IF($V49="中級",VLOOKUP($BO49,参照データ!$C$47:$U$60,18,0),IF($V49="上級",VLOOKUP($BO49,参照データ!$C$47:$U$60,19,0),"")))</f>
        <v/>
      </c>
      <c r="CJ49" s="868"/>
      <c r="CK49" s="73" t="s">
        <v>273</v>
      </c>
      <c r="CL49" s="150" t="str">
        <f t="shared" si="6"/>
        <v/>
      </c>
      <c r="CM49" s="872"/>
      <c r="CO49" s="61">
        <f>IF(AND($BJ49&gt;=参照データ!$C$71,$BJ49&lt;=参照データ!$C$69),1,IF(AND($BJ49&gt;=参照データ!$C$74,$BJ49&lt;=参照データ!$C$72),2,IF(AND($BJ49&gt;=参照データ!$C$77,$BJ49&lt;=参照データ!$C$75),3,IF(AND($BJ49&gt;=参照データ!$C$80,$BJ49&lt;=参照データ!$C$78),4,IF(AND($BJ49&gt;=参照データ!$C$83,$BJ49&lt;=参照データ!$C$81),5,IF(AND($BJ49&gt;0,$BJ49&lt;=参照データ!$C$84),6,""))))))</f>
        <v>5</v>
      </c>
      <c r="CP49" s="160" t="str">
        <f>IF($Y49="オープン",(VLOOKUP($CO49,参照データ!$D$69:$J$86,2,0)),"")</f>
        <v/>
      </c>
      <c r="CQ49" s="79" t="str">
        <f t="shared" si="27"/>
        <v/>
      </c>
      <c r="CR49" s="78" t="str">
        <f>IF($AA49="オープン",(VLOOKUP($CO49,参照データ!$D$69:$J$86,3,0)),"")</f>
        <v/>
      </c>
      <c r="CS49" s="79" t="str">
        <f t="shared" si="28"/>
        <v/>
      </c>
      <c r="CT49" s="78" t="str">
        <f>IF($AC49="オープン",(VLOOKUP($CO49,参照データ!$D$69:$J$86,4,0)),"")</f>
        <v/>
      </c>
      <c r="CU49" s="79" t="str">
        <f t="shared" si="29"/>
        <v/>
      </c>
      <c r="CV49" s="78" t="str">
        <f>IF($AE49="オープン",(VLOOKUP($CO49,参照データ!$D$69:$J$86,5,0)),"")</f>
        <v/>
      </c>
      <c r="CW49" s="79" t="str">
        <f t="shared" si="7"/>
        <v/>
      </c>
      <c r="CX49" s="78" t="str">
        <f>IF($AG49="オープン",(VLOOKUP($CO49,参照データ!$D$69:$J$86,6,0)),"")</f>
        <v/>
      </c>
      <c r="CY49" s="79" t="str">
        <f t="shared" si="30"/>
        <v/>
      </c>
      <c r="CZ49" s="38" t="str">
        <f t="shared" si="31"/>
        <v/>
      </c>
      <c r="DA49" s="37" t="str">
        <f t="shared" si="32"/>
        <v/>
      </c>
      <c r="DB49" s="79" t="str">
        <f t="shared" si="33"/>
        <v/>
      </c>
      <c r="DC49" s="858"/>
      <c r="DD49" s="85" t="s">
        <v>123</v>
      </c>
      <c r="DE49" s="86" t="str">
        <f t="shared" si="34"/>
        <v/>
      </c>
      <c r="DF49" s="860"/>
      <c r="DG49" s="350" t="str">
        <f t="shared" ref="DG49" si="129">$DG48</f>
        <v/>
      </c>
      <c r="DH49" s="523">
        <f>IF(AND($BJ49&gt;=参照データ!$C$130,$BJ49&lt;=参照データ!$C$128),1,IF(AND($BJ49&gt;=参照データ!$C$133,$BJ49&lt;=参照データ!$C$131),2,IF(AND($BJ49&gt;=参照データ!$C$139,$BJ49&lt;=参照データ!$C$137),3,IF(AND($BJ49&gt;0,$BJ49&lt;=参照データ!$C$140),4,""))))</f>
        <v>1</v>
      </c>
      <c r="DI49" s="523">
        <f t="shared" si="35"/>
        <v>7</v>
      </c>
      <c r="DJ49" s="523" t="str">
        <f t="shared" si="36"/>
        <v/>
      </c>
      <c r="DK49" s="524" t="str">
        <f>IF($AN49="","",IF(AND($AN49="○",$BK49="男子"),VLOOKUP($DI49,参照データ!$D$128:$J$145,3,FALSE),VLOOKUP($DH49,参照データ!$D$128:$J$145,3,FALSE)))</f>
        <v/>
      </c>
      <c r="DL49" s="525" t="str">
        <f t="shared" si="37"/>
        <v/>
      </c>
      <c r="DM49" s="524" t="str">
        <f>IF($AP49="","",IF(AND($AP49="○",$BK49="男子"),VLOOKUP($DI49,参照データ!$D$128:$J$145,4,FALSE),VLOOKUP($DH49,参照データ!$D$128:$J$145,4,FALSE)))</f>
        <v/>
      </c>
      <c r="DN49" s="525" t="str">
        <f t="shared" si="38"/>
        <v/>
      </c>
      <c r="DO49" s="524" t="str">
        <f>IF($AR49="","",IF(AND($AR49="○",$BK49="男子"),VLOOKUP($DI49,参照データ!$D$128:$J$145,5,FALSE),VLOOKUP($DH49,参照データ!$D$128:$J$145,5,FALSE)))</f>
        <v/>
      </c>
      <c r="DP49" s="525" t="str">
        <f t="shared" si="39"/>
        <v/>
      </c>
      <c r="DQ49" s="524" t="str">
        <f>IF($AT49="","",IF(AND($AT49="○",$BK49="男子"),VLOOKUP($DI49,参照データ!$D$128:$J$145,6,FALSE),VLOOKUP($DH49,参照データ!$D$128:$J$145,6,FALSE)))</f>
        <v/>
      </c>
      <c r="DR49" s="525" t="str">
        <f t="shared" si="40"/>
        <v/>
      </c>
      <c r="DS49" s="526" t="str">
        <f t="shared" si="41"/>
        <v/>
      </c>
      <c r="DT49" s="527" t="str">
        <f t="shared" si="42"/>
        <v/>
      </c>
      <c r="DU49" s="528" t="str">
        <f t="shared" si="43"/>
        <v/>
      </c>
      <c r="DV49" s="983"/>
      <c r="DW49" s="531" t="s">
        <v>123</v>
      </c>
      <c r="DX49" s="532" t="str">
        <f t="shared" si="92"/>
        <v/>
      </c>
      <c r="DY49" s="994"/>
      <c r="DZ49" s="692" t="str">
        <f>$DZ48</f>
        <v/>
      </c>
      <c r="EA49" s="526" t="str">
        <f t="shared" si="85"/>
        <v/>
      </c>
      <c r="EB49" s="527" t="str">
        <f t="shared" si="86"/>
        <v/>
      </c>
      <c r="EC49" s="528" t="str">
        <f t="shared" si="87"/>
        <v/>
      </c>
      <c r="ED49" s="983"/>
      <c r="EE49" s="531" t="s">
        <v>123</v>
      </c>
      <c r="EF49" s="531" t="str">
        <f t="shared" si="88"/>
        <v/>
      </c>
      <c r="EG49" s="532" t="str">
        <f>IF(SUM(EF48:EF49)&lt;24,"",IF(SUM(EF48:EF49)&gt;=36,3,2))</f>
        <v/>
      </c>
      <c r="EH49" s="994"/>
      <c r="EI49" s="527" t="str">
        <f>$EI48</f>
        <v/>
      </c>
      <c r="EJ49" s="555" t="str">
        <f t="shared" si="13"/>
        <v/>
      </c>
      <c r="EK49" s="556" t="str">
        <f t="shared" si="44"/>
        <v/>
      </c>
      <c r="EL49" s="846"/>
      <c r="EM49" s="561" t="s">
        <v>809</v>
      </c>
      <c r="EN49" s="562" t="str">
        <f t="shared" si="45"/>
        <v/>
      </c>
      <c r="EO49" s="849"/>
      <c r="EP49" s="555" t="str">
        <f t="shared" si="115"/>
        <v/>
      </c>
      <c r="EQ49" s="556" t="str">
        <f t="shared" si="46"/>
        <v/>
      </c>
      <c r="ER49" s="846"/>
      <c r="ES49" s="561" t="s">
        <v>809</v>
      </c>
      <c r="ET49" s="562" t="str">
        <f t="shared" si="47"/>
        <v/>
      </c>
      <c r="EU49" s="849"/>
      <c r="EV49" s="38" t="str">
        <f t="shared" si="116"/>
        <v/>
      </c>
      <c r="EW49" s="552" t="str">
        <f t="shared" si="48"/>
        <v/>
      </c>
      <c r="EX49" s="833"/>
      <c r="EY49" s="559" t="s">
        <v>773</v>
      </c>
      <c r="EZ49" s="560" t="str">
        <f t="shared" si="49"/>
        <v/>
      </c>
      <c r="FA49" s="835"/>
      <c r="FB49" t="str">
        <f>IF($FC49="","",DATEDIF($BJ49,参照データ!$D$19,"Y"))</f>
        <v/>
      </c>
      <c r="FC49" s="298" t="str">
        <f>IFERROR(IF($BK49="男子",VLOOKUP($FJ49,参照データ!$D$92:$E$118,2,0),$FJ49),0)</f>
        <v/>
      </c>
      <c r="FD49" s="92" t="str">
        <f>IF($Y49="選手権",(VLOOKUP($FC49,参照データ!$D$92:$K$121,3,0)),"")</f>
        <v/>
      </c>
      <c r="FE49" s="93" t="str">
        <f t="shared" si="117"/>
        <v/>
      </c>
      <c r="FF49" s="92" t="str">
        <f>IF($AA49="選手権",(VLOOKUP($FC49,参照データ!$D$92:$K$121,4,0)),"")</f>
        <v/>
      </c>
      <c r="FG49" s="93" t="str">
        <f t="shared" si="118"/>
        <v/>
      </c>
      <c r="FH49" s="92" t="str">
        <f>IF($AC49="選手権",(VLOOKUP($FC49,参照データ!$D$92:$K$121,5,0)),"")</f>
        <v/>
      </c>
      <c r="FI49" s="93" t="str">
        <f t="shared" si="119"/>
        <v/>
      </c>
      <c r="FJ49" s="61" t="str">
        <f>IF(AND($BJ49&gt;=参照データ!$C$94,$BJ49&lt;=参照データ!$C$92),1,IF(AND($BJ49&gt;=参照データ!$C$97,$BJ49&lt;=参照データ!$C$95),2,IF(AND($BJ49&gt;=参照データ!$C$103,$BJ49&lt;=参照データ!$C$101),3,IF(AND($BJ49&gt;=参照データ!$C$109,$BJ49&lt;=参照データ!$C$107),4,IF(AND($BJ49&gt;=参照データ!$C$115,$BJ49&lt;=参照データ!$C$113),5,IF(AND($BJ49&gt;0,$BJ49&lt;=参照データ!$C$116),6,""))))))</f>
        <v/>
      </c>
      <c r="FK49" s="92" t="str">
        <f>IF($AE49="選手権",(VLOOKUP($FJ49,参照データ!$D$92:$K$121,6,0)),"")</f>
        <v/>
      </c>
      <c r="FL49" s="93" t="str">
        <f t="shared" si="19"/>
        <v/>
      </c>
      <c r="FM49" s="92" t="str">
        <f>IF($AG49="選手権",(VLOOKUP($FJ49,参照データ!$D$92:$K$121,7,0)),"")</f>
        <v/>
      </c>
      <c r="FN49" s="93" t="str">
        <f t="shared" si="50"/>
        <v/>
      </c>
      <c r="FO49" s="38" t="str">
        <f t="shared" si="51"/>
        <v/>
      </c>
      <c r="FP49" s="37" t="str">
        <f t="shared" si="52"/>
        <v/>
      </c>
      <c r="FQ49" s="93" t="str">
        <f t="shared" si="53"/>
        <v/>
      </c>
      <c r="FR49" s="976"/>
      <c r="FS49" s="99" t="s">
        <v>123</v>
      </c>
      <c r="FT49" s="100" t="str">
        <f t="shared" si="120"/>
        <v/>
      </c>
      <c r="FU49" s="978"/>
      <c r="FV49" s="356" t="str">
        <f t="shared" si="99"/>
        <v/>
      </c>
      <c r="FY49" s="40">
        <f>(COUNTIF($J49:$O49,"&lt;&gt;"))*参照データ!$E$3</f>
        <v>0</v>
      </c>
      <c r="FZ49" s="267" t="str">
        <f>IF($P49="○",参照データ!$E$4,"")</f>
        <v/>
      </c>
      <c r="GA49" s="19">
        <f>(SUM(COUNTIF($Q49:$U49,{"入門","初級"}))*参照データ!$E$9)+(SUM(COUNTIF($Q49:$U49,{"中級","上級"})*参照データ!$E$10))</f>
        <v>0</v>
      </c>
      <c r="GB49" s="19">
        <f>IFERROR(VLOOKUP($V49,参照データ!$D$9:$J$11,7,0),0)</f>
        <v>0</v>
      </c>
      <c r="GC49" s="19">
        <f>((COUNTIF($Y49:$AG49,"オープン"))*参照データ!$E$12)</f>
        <v>0</v>
      </c>
      <c r="GD49" s="19" t="str">
        <f>(IF($AI49="オープン",参照データ!$J$12,""))</f>
        <v/>
      </c>
      <c r="GE49" s="19">
        <f>(COUNTIF($AN49:$AU49,"○")*参照データ!$E$22)</f>
        <v>0</v>
      </c>
      <c r="GF49" s="19">
        <f>(COUNTIF($AV49:$BA49,"○")*参照データ!$I$22)</f>
        <v>0</v>
      </c>
      <c r="GI49" s="19">
        <f>((COUNTIF($Y49:$AG49,"選手権"))*参照データ!$E$13)</f>
        <v>0</v>
      </c>
      <c r="GJ49" s="19" t="str">
        <f>(IF($AI49="選手権",参照データ!$J$13,""))</f>
        <v/>
      </c>
      <c r="GK49" s="106">
        <f t="array" ref="GK49">SUM(IF(ISERROR(FY49:GJ49),0,(FY49:GJ49)))</f>
        <v>0</v>
      </c>
      <c r="GL49" s="19"/>
      <c r="GM49" s="19">
        <f t="shared" si="54"/>
        <v>0</v>
      </c>
      <c r="GN49" s="19">
        <f t="shared" si="55"/>
        <v>0</v>
      </c>
      <c r="GO49" s="19">
        <f t="shared" si="56"/>
        <v>0</v>
      </c>
      <c r="GP49" s="19">
        <f t="shared" si="121"/>
        <v>0</v>
      </c>
      <c r="GQ49" s="19">
        <f t="shared" si="57"/>
        <v>0</v>
      </c>
      <c r="GR49" s="19">
        <f t="shared" si="58"/>
        <v>0</v>
      </c>
      <c r="GS49" s="19">
        <f t="shared" si="59"/>
        <v>0</v>
      </c>
      <c r="GT49" s="19">
        <f t="shared" si="60"/>
        <v>0</v>
      </c>
      <c r="GU49" s="19">
        <f t="shared" si="61"/>
        <v>0</v>
      </c>
      <c r="GV49" t="str">
        <f t="shared" si="122"/>
        <v/>
      </c>
      <c r="GW49" t="str">
        <f t="shared" si="62"/>
        <v/>
      </c>
      <c r="GX49" t="str">
        <f t="shared" si="123"/>
        <v/>
      </c>
      <c r="GY49" t="str">
        <f t="shared" si="63"/>
        <v/>
      </c>
      <c r="GZ49" t="str">
        <f t="shared" si="124"/>
        <v/>
      </c>
    </row>
    <row r="50" spans="1:208" ht="18.75" customHeight="1" x14ac:dyDescent="0.15">
      <c r="A50">
        <v>39</v>
      </c>
      <c r="B50" s="15" t="str">
        <f>IF(D50="","",IF(D50="重複","",COUNTIF(B$12:$B49,"&gt;0")+1))</f>
        <v/>
      </c>
      <c r="C50" s="713"/>
      <c r="D50" s="185"/>
      <c r="E50" s="185"/>
      <c r="F50" s="36"/>
      <c r="G50" s="47"/>
      <c r="H50" s="402">
        <f t="shared" si="112"/>
        <v>0</v>
      </c>
      <c r="I50" s="201" t="str">
        <f>IF($BJ50=0,"",DATEDIF($BJ50,参照データ!$D$16,"Y"))</f>
        <v/>
      </c>
      <c r="J50" s="41"/>
      <c r="K50" s="41"/>
      <c r="L50" s="41"/>
      <c r="M50" s="41"/>
      <c r="N50" s="41"/>
      <c r="O50" s="49"/>
      <c r="P50" s="395"/>
      <c r="Q50" s="51"/>
      <c r="R50" s="289"/>
      <c r="S50" s="289"/>
      <c r="T50" s="289"/>
      <c r="U50" s="290"/>
      <c r="V50" s="293"/>
      <c r="W50" s="295"/>
      <c r="Y50" s="446"/>
      <c r="Z50" s="396" t="str">
        <f>IF($Y50="オープン",VLOOKUP($CO50,参照データ!$D$69:$M$86,9,0),IF($Y50="選手権",VLOOKUP($FC50,参照データ!$D$92:$O$121,10,0),""))</f>
        <v/>
      </c>
      <c r="AA50" s="446"/>
      <c r="AB50" s="666" t="str">
        <f>IF($AA50="オープン",VLOOKUP($CO50,参照データ!$D$69:$M$86,10,0),IF($AA50="選手権",VLOOKUP($FC50,参照データ!$D$92:$O$121,11,0),""))</f>
        <v/>
      </c>
      <c r="AC50" s="669"/>
      <c r="AD50" s="396" t="str">
        <f>IF($AC50="オープン",VLOOKUP($CO50,参照データ!$D$69:$M$86,10,0),IF($AC50="選手権",VLOOKUP($FC50,参照データ!$D$92:$O$121,11,0),""))</f>
        <v/>
      </c>
      <c r="AE50" s="446"/>
      <c r="AF50" s="396" t="str">
        <f>IF($AE50="オープン",VLOOKUP($CO50,参照データ!$D$69:$M$86,10,0),IF($AE50="選手権",VLOOKUP($FJ50,参照データ!$D$92:$O$121,12,0),""))</f>
        <v/>
      </c>
      <c r="AG50" s="446"/>
      <c r="AH50" s="396" t="str">
        <f>IF($AG50="オープン",VLOOKUP($CO50,参照データ!$D$69:$M$86,10,0),IF($AG50="選手権",VLOOKUP($FJ50,参照データ!$D$92:$O$121,12,0),""))</f>
        <v/>
      </c>
      <c r="AI50" s="446"/>
      <c r="AJ50" s="449"/>
      <c r="AK50" s="396" t="str">
        <f t="shared" si="113"/>
        <v/>
      </c>
      <c r="AL50" s="587"/>
      <c r="AM50" s="588" t="str">
        <f>IF($BJ50=0,"",DATEDIF($BJ50,参照データ!$D$17,"Y"))</f>
        <v/>
      </c>
      <c r="AN50" s="450"/>
      <c r="AO50" s="591" t="str">
        <f>IF(AN50="","",IF($BK50="男子",VLOOKUP($DI50,参照データ!$D$128:$M$145,10,FALSE),VLOOKUP($DH50,参照データ!$D$128:$M$145,10,FALSE)))</f>
        <v/>
      </c>
      <c r="AP50" s="450"/>
      <c r="AQ50" s="591" t="str">
        <f>IF(AP50="","",IF($BK50="男子",VLOOKUP($DI50,参照データ!$D$128:$M$145,10,FALSE),VLOOKUP($DH50,参照データ!$D$128:$M$145,10,FALSE)))</f>
        <v/>
      </c>
      <c r="AR50" s="450"/>
      <c r="AS50" s="591" t="str">
        <f>IF(AR50="","",IF($BK50="男子",VLOOKUP($DI50,参照データ!$D$128:$M$145,10,FALSE),VLOOKUP($DH50,参照データ!$D$128:$M$145,10,FALSE)))</f>
        <v/>
      </c>
      <c r="AT50" s="450"/>
      <c r="AU50" s="591" t="str">
        <f>IF(AT50="","",IF($BK50="男子",VLOOKUP($DI50,参照データ!$D$128:$M$145,10,FALSE),VLOOKUP($DH50,参照データ!$D$128:$M$145,10,FALSE)))</f>
        <v/>
      </c>
      <c r="AV50" s="448"/>
      <c r="AW50" s="448"/>
      <c r="AX50" s="585" t="str">
        <f t="shared" si="25"/>
        <v/>
      </c>
      <c r="AY50" s="448"/>
      <c r="AZ50" s="448"/>
      <c r="BA50" s="585" t="str">
        <f t="shared" si="83"/>
        <v/>
      </c>
      <c r="BB50" s="677"/>
      <c r="BC50" s="724"/>
      <c r="BD50" s="640"/>
      <c r="BE50" s="482"/>
      <c r="BF50" s="365"/>
      <c r="BG50" s="366"/>
      <c r="BJ50">
        <f t="shared" si="75"/>
        <v>0</v>
      </c>
      <c r="BK50" t="str">
        <f t="shared" si="65"/>
        <v/>
      </c>
      <c r="BL50" s="146"/>
      <c r="BO50" s="61" t="str">
        <f>IF($BJ50=0,"",IF(AND($I50&gt;=6,$I50&lt;=19),VLOOKUP($I50,参照データ!$B$28:$C$41,2,0),IF($I50&lt;6,6,19)))</f>
        <v/>
      </c>
      <c r="BP50" s="178" t="str">
        <f>IF($J50=$BI$12,VLOOKUP($BO50,参照データ!$C$28:$I$41,2,0),"")</f>
        <v/>
      </c>
      <c r="BQ50" s="169" t="str">
        <f>IF($K50=$BI$12,VLOOKUP($BO50,参照データ!$C$28:$I$41,3,0),"")</f>
        <v/>
      </c>
      <c r="BR50" s="169" t="str">
        <f>IF($L50=$BI$12,VLOOKUP($BO50,参照データ!$C$28:$I$41,4,0),"")</f>
        <v/>
      </c>
      <c r="BS50" s="169" t="str">
        <f>IF($M50=$BI$12,VLOOKUP($BO50,参照データ!$C$28:$I$41,5,0),"")</f>
        <v/>
      </c>
      <c r="BT50" s="169" t="str">
        <f>IF($N50=$BI$12,VLOOKUP($BO50,参照データ!$C$28:$I$41,6,0),"")</f>
        <v/>
      </c>
      <c r="BU50" s="179" t="str">
        <f>IF($O50=$BI$12,VLOOKUP($BO50,参照データ!$C$28:$I$41,7,0),"")</f>
        <v/>
      </c>
      <c r="BV50" s="178" t="str">
        <f>IF($J50=$BI$13,VLOOKUP($BO50,参照データ!$C$28:$I$41,2,0),"")</f>
        <v/>
      </c>
      <c r="BW50" s="169" t="str">
        <f>IF($K50=$BI$13,VLOOKUP($BO50,参照データ!$C$28:$I$41,3,0),"")</f>
        <v/>
      </c>
      <c r="BX50" s="169" t="str">
        <f>IF($L50=$BI$13,VLOOKUP($BO50,参照データ!$C$28:$I$41,4,0),"")</f>
        <v/>
      </c>
      <c r="BY50" s="169" t="str">
        <f>IF($M50=$BI$13,VLOOKUP($BO50,参照データ!$C$28:$I$41,5,0),"")</f>
        <v/>
      </c>
      <c r="BZ50" s="169" t="str">
        <f>IF($N50=$BI$13,VLOOKUP($BO50,参照データ!$C$28:$I$41,6,0),"")</f>
        <v/>
      </c>
      <c r="CA50" s="179" t="str">
        <f>IF($O50=$BI$13,VLOOKUP($BO50,参照データ!$C$28:$I$41,7,0),"")</f>
        <v/>
      </c>
      <c r="CB50" s="271" t="str">
        <f t="shared" si="26"/>
        <v/>
      </c>
      <c r="CC50" s="177" t="str">
        <f>IF($Q50="入門",VLOOKUP($BO50,参照データ!$C$47:$U$60,2,0),IF($Q50="初級",VLOOKUP($BO50,参照データ!$C$47:$U$60,3,0),IF($Q50="中級",VLOOKUP($BO50,参照データ!$C$47:$U$60,4,0),IF($Q50="上級",VLOOKUP($BO50,参照データ!$C$47:$U$60,5,0),""))))</f>
        <v/>
      </c>
      <c r="CD50" s="177" t="str">
        <f>IF($R50="初級",VLOOKUP($BO50,参照データ!$C$47:$U$60,6,0),IF($R50="中級",VLOOKUP($BO50,参照データ!$C$47:$U$60,7,0),IF($R50="上級",VLOOKUP($BO50,参照データ!$C$47:$U$60,8,0),"")))</f>
        <v/>
      </c>
      <c r="CE50" s="177" t="str">
        <f>IF($S50="初級",VLOOKUP($BO50,参照データ!$C$47:$U$60,9,0),IF($S50="上級",VLOOKUP($BO50,参照データ!$C$47:$U$60,10,0),""))</f>
        <v/>
      </c>
      <c r="CF50" s="177" t="str">
        <f>IF($T50="初級",VLOOKUP($BO50,参照データ!$C$47:$U$60,11,0),IF($T50="中級",VLOOKUP($BO50,参照データ!$C$47:$U$60,12,0),IF($T50="上級",VLOOKUP($BO50,参照データ!$C$47:$U$60,13,0),"")))</f>
        <v/>
      </c>
      <c r="CG50" s="177" t="str">
        <f>IF($U50="初級",VLOOKUP($BO50,参照データ!$C$47:$U$60,14,0),IF($U50="中級",VLOOKUP($BO50,参照データ!$C$47:$U$60,15,0),IF($U50="上級",VLOOKUP($BO50,参照データ!$C$47:$U$60,16,0),"")))</f>
        <v/>
      </c>
      <c r="CH50" s="55" t="str">
        <f t="shared" si="5"/>
        <v/>
      </c>
      <c r="CI50" s="55" t="str">
        <f>IF($V50="初級",VLOOKUP($BO50,参照データ!$C$47:$U$60,17,0),IF($V50="中級",VLOOKUP($BO50,参照データ!$C$47:$U$60,18,0),IF($V50="上級",VLOOKUP($BO50,参照データ!$C$47:$U$60,19,0),"")))</f>
        <v/>
      </c>
      <c r="CJ50" s="867">
        <v>20</v>
      </c>
      <c r="CK50" s="74" t="s">
        <v>274</v>
      </c>
      <c r="CL50" s="151" t="str">
        <f t="shared" si="6"/>
        <v/>
      </c>
      <c r="CM50" s="871" t="str">
        <f t="shared" ref="CM50" si="130">IF(OR($CL50="",$CL51=""),"",IF($CL50&gt;$CL51,$CL50,$CL51))</f>
        <v/>
      </c>
      <c r="CO50" s="61">
        <f>IF(AND($BJ50&gt;=参照データ!$C$71,$BJ50&lt;=参照データ!$C$69),1,IF(AND($BJ50&gt;=参照データ!$C$74,$BJ50&lt;=参照データ!$C$72),2,IF(AND($BJ50&gt;=参照データ!$C$77,$BJ50&lt;=参照データ!$C$75),3,IF(AND($BJ50&gt;=参照データ!$C$80,$BJ50&lt;=参照データ!$C$78),4,IF(AND($BJ50&gt;=参照データ!$C$83,$BJ50&lt;=参照データ!$C$81),5,IF(AND($BJ50&gt;0,$BJ50&lt;=参照データ!$C$84),6,""))))))</f>
        <v>5</v>
      </c>
      <c r="CP50" s="160" t="str">
        <f>IF($Y50="オープン",(VLOOKUP($CO50,参照データ!$D$69:$J$86,2,0)),"")</f>
        <v/>
      </c>
      <c r="CQ50" s="79" t="str">
        <f t="shared" si="27"/>
        <v/>
      </c>
      <c r="CR50" s="78" t="str">
        <f>IF($AA50="オープン",(VLOOKUP($CO50,参照データ!$D$69:$J$86,3,0)),"")</f>
        <v/>
      </c>
      <c r="CS50" s="79" t="str">
        <f t="shared" si="28"/>
        <v/>
      </c>
      <c r="CT50" s="78" t="str">
        <f>IF($AC50="オープン",(VLOOKUP($CO50,参照データ!$D$69:$J$86,4,0)),"")</f>
        <v/>
      </c>
      <c r="CU50" s="79" t="str">
        <f t="shared" si="29"/>
        <v/>
      </c>
      <c r="CV50" s="78" t="str">
        <f>IF($AE50="オープン",(VLOOKUP($CO50,参照データ!$D$69:$J$86,5,0)),"")</f>
        <v/>
      </c>
      <c r="CW50" s="79" t="str">
        <f t="shared" si="7"/>
        <v/>
      </c>
      <c r="CX50" s="78" t="str">
        <f>IF($AG50="オープン",(VLOOKUP($CO50,参照データ!$D$69:$J$86,6,0)),"")</f>
        <v/>
      </c>
      <c r="CY50" s="79" t="str">
        <f t="shared" si="30"/>
        <v/>
      </c>
      <c r="CZ50" s="38" t="str">
        <f t="shared" si="31"/>
        <v/>
      </c>
      <c r="DA50" s="37" t="str">
        <f t="shared" si="32"/>
        <v/>
      </c>
      <c r="DB50" s="79" t="str">
        <f t="shared" si="33"/>
        <v/>
      </c>
      <c r="DC50" s="857">
        <v>20</v>
      </c>
      <c r="DD50" s="87" t="s">
        <v>124</v>
      </c>
      <c r="DE50" s="88" t="str">
        <f t="shared" si="34"/>
        <v/>
      </c>
      <c r="DF50" s="859" t="e">
        <f>IF($DE50&gt;$DE51,VLOOKUP($DE50,参照データ!$D$69:$J$86,7,0),VLOOKUP($DE51,参照データ!$D$69:$J$86,7,0))</f>
        <v>#N/A</v>
      </c>
      <c r="DG50" s="350" t="str">
        <f>IFERROR(VLOOKUP($DF50,参照データ!$J$69:$M$86,4,0),"")</f>
        <v/>
      </c>
      <c r="DH50" s="523">
        <f>IF(AND($BJ50&gt;=参照データ!$C$130,$BJ50&lt;=参照データ!$C$128),1,IF(AND($BJ50&gt;=参照データ!$C$133,$BJ50&lt;=参照データ!$C$131),2,IF(AND($BJ50&gt;=参照データ!$C$139,$BJ50&lt;=参照データ!$C$137),3,IF(AND($BJ50&gt;0,$BJ50&lt;=参照データ!$C$140),4,""))))</f>
        <v>1</v>
      </c>
      <c r="DI50" s="523">
        <f t="shared" si="35"/>
        <v>7</v>
      </c>
      <c r="DJ50" s="523" t="str">
        <f t="shared" si="36"/>
        <v/>
      </c>
      <c r="DK50" s="524" t="str">
        <f>IF($AN50="","",IF(AND($AN50="○",$BK50="男子"),VLOOKUP($DI50,参照データ!$D$128:$J$145,3,FALSE),VLOOKUP($DH50,参照データ!$D$128:$J$145,3,FALSE)))</f>
        <v/>
      </c>
      <c r="DL50" s="525" t="str">
        <f t="shared" si="37"/>
        <v/>
      </c>
      <c r="DM50" s="524" t="str">
        <f>IF($AP50="","",IF(AND($AP50="○",$BK50="男子"),VLOOKUP($DI50,参照データ!$D$128:$J$145,4,FALSE),VLOOKUP($DH50,参照データ!$D$128:$J$145,4,FALSE)))</f>
        <v/>
      </c>
      <c r="DN50" s="525" t="str">
        <f t="shared" si="38"/>
        <v/>
      </c>
      <c r="DO50" s="524" t="str">
        <f>IF($AR50="","",IF(AND($AR50="○",$BK50="男子"),VLOOKUP($DI50,参照データ!$D$128:$J$145,5,FALSE),VLOOKUP($DH50,参照データ!$D$128:$J$145,5,FALSE)))</f>
        <v/>
      </c>
      <c r="DP50" s="525" t="str">
        <f t="shared" si="39"/>
        <v/>
      </c>
      <c r="DQ50" s="524" t="str">
        <f>IF($AT50="","",IF(AND($AT50="○",$BK50="男子"),VLOOKUP($DI50,参照データ!$D$128:$J$145,6,FALSE),VLOOKUP($DH50,参照データ!$D$128:$J$145,6,FALSE)))</f>
        <v/>
      </c>
      <c r="DR50" s="525" t="str">
        <f t="shared" si="40"/>
        <v/>
      </c>
      <c r="DS50" s="526" t="str">
        <f t="shared" si="41"/>
        <v/>
      </c>
      <c r="DT50" s="527" t="str">
        <f t="shared" si="42"/>
        <v/>
      </c>
      <c r="DU50" s="528" t="str">
        <f t="shared" si="43"/>
        <v/>
      </c>
      <c r="DV50" s="982">
        <v>20</v>
      </c>
      <c r="DW50" s="533" t="s">
        <v>124</v>
      </c>
      <c r="DX50" s="534" t="str">
        <f t="shared" si="92"/>
        <v/>
      </c>
      <c r="DY50" s="877" t="e">
        <f>IF($DX50&gt;$DX51,VLOOKUP($DX50,参照データ!$D$128:$K$145,7,0),VLOOKUP($DX51,参照データ!$D$128:$K$145,7,0))</f>
        <v>#N/A</v>
      </c>
      <c r="DZ50" s="692" t="str">
        <f>IFERROR(VLOOKUP($DY50,参照データ!$J$128:$N$145,5,0),"")</f>
        <v/>
      </c>
      <c r="EA50" s="526" t="str">
        <f t="shared" si="85"/>
        <v/>
      </c>
      <c r="EB50" s="527" t="str">
        <f t="shared" si="86"/>
        <v/>
      </c>
      <c r="EC50" s="528" t="str">
        <f t="shared" si="87"/>
        <v/>
      </c>
      <c r="ED50" s="982">
        <v>20</v>
      </c>
      <c r="EE50" s="533" t="s">
        <v>124</v>
      </c>
      <c r="EF50" s="533" t="str">
        <f t="shared" si="88"/>
        <v/>
      </c>
      <c r="EG50" s="534" t="str">
        <f>IF(SUM(EF50:EF51)&lt;24,"",IF(SUM(EF50:EF51)&gt;=36,3,2))</f>
        <v/>
      </c>
      <c r="EH50" s="877" t="e">
        <f>IF($EG50&gt;$EG51,VLOOKUP($EG50,参照データ!$D$128:$K$145,8,0),VLOOKUP($EG51,参照データ!$D$128:$K$145,8,0))</f>
        <v>#N/A</v>
      </c>
      <c r="EI50" s="527" t="str">
        <f>IFERROR(VLOOKUP($EH50,参照データ!$K$128:$N$145,4,0),"")</f>
        <v/>
      </c>
      <c r="EJ50" s="555" t="str">
        <f t="shared" si="13"/>
        <v/>
      </c>
      <c r="EK50" s="556" t="str">
        <f t="shared" si="44"/>
        <v/>
      </c>
      <c r="EL50" s="846"/>
      <c r="EM50" s="561" t="s">
        <v>810</v>
      </c>
      <c r="EN50" s="562" t="str">
        <f t="shared" si="45"/>
        <v/>
      </c>
      <c r="EO50" s="849"/>
      <c r="EP50" s="555" t="str">
        <f t="shared" si="115"/>
        <v/>
      </c>
      <c r="EQ50" s="556" t="str">
        <f t="shared" si="46"/>
        <v/>
      </c>
      <c r="ER50" s="846"/>
      <c r="ES50" s="561" t="s">
        <v>810</v>
      </c>
      <c r="ET50" s="562" t="str">
        <f t="shared" si="47"/>
        <v/>
      </c>
      <c r="EU50" s="849"/>
      <c r="EV50" s="38" t="str">
        <f t="shared" si="116"/>
        <v/>
      </c>
      <c r="EW50" s="552" t="str">
        <f t="shared" si="48"/>
        <v/>
      </c>
      <c r="EX50" s="833"/>
      <c r="EY50" s="559" t="s">
        <v>775</v>
      </c>
      <c r="EZ50" s="560" t="str">
        <f t="shared" si="49"/>
        <v/>
      </c>
      <c r="FA50" s="835"/>
      <c r="FB50" t="str">
        <f>IF($FC50="","",DATEDIF($BJ50,参照データ!$D$19,"Y"))</f>
        <v/>
      </c>
      <c r="FC50" s="298" t="str">
        <f>IFERROR(IF($BK50="男子",VLOOKUP($FJ50,参照データ!$D$92:$E$118,2,0),$FJ50),0)</f>
        <v/>
      </c>
      <c r="FD50" s="92" t="str">
        <f>IF($Y50="選手権",(VLOOKUP($FC50,参照データ!$D$92:$K$121,3,0)),"")</f>
        <v/>
      </c>
      <c r="FE50" s="93" t="str">
        <f t="shared" si="117"/>
        <v/>
      </c>
      <c r="FF50" s="92" t="str">
        <f>IF($AA50="選手権",(VLOOKUP($FC50,参照データ!$D$92:$K$121,4,0)),"")</f>
        <v/>
      </c>
      <c r="FG50" s="93" t="str">
        <f t="shared" si="118"/>
        <v/>
      </c>
      <c r="FH50" s="92" t="str">
        <f>IF($AC50="選手権",(VLOOKUP($FC50,参照データ!$D$92:$K$121,5,0)),"")</f>
        <v/>
      </c>
      <c r="FI50" s="93" t="str">
        <f t="shared" si="119"/>
        <v/>
      </c>
      <c r="FJ50" s="61" t="str">
        <f>IF(AND($BJ50&gt;=参照データ!$C$94,$BJ50&lt;=参照データ!$C$92),1,IF(AND($BJ50&gt;=参照データ!$C$97,$BJ50&lt;=参照データ!$C$95),2,IF(AND($BJ50&gt;=参照データ!$C$103,$BJ50&lt;=参照データ!$C$101),3,IF(AND($BJ50&gt;=参照データ!$C$109,$BJ50&lt;=参照データ!$C$107),4,IF(AND($BJ50&gt;=参照データ!$C$115,$BJ50&lt;=参照データ!$C$113),5,IF(AND($BJ50&gt;0,$BJ50&lt;=参照データ!$C$116),6,""))))))</f>
        <v/>
      </c>
      <c r="FK50" s="92" t="str">
        <f>IF($AE50="選手権",(VLOOKUP($FJ50,参照データ!$D$92:$K$121,6,0)),"")</f>
        <v/>
      </c>
      <c r="FL50" s="93" t="str">
        <f t="shared" si="19"/>
        <v/>
      </c>
      <c r="FM50" s="92" t="str">
        <f>IF($AG50="選手権",(VLOOKUP($FJ50,参照データ!$D$92:$K$121,7,0)),"")</f>
        <v/>
      </c>
      <c r="FN50" s="93" t="str">
        <f t="shared" si="50"/>
        <v/>
      </c>
      <c r="FO50" s="38" t="str">
        <f t="shared" si="51"/>
        <v/>
      </c>
      <c r="FP50" s="37" t="str">
        <f t="shared" si="52"/>
        <v/>
      </c>
      <c r="FQ50" s="93" t="str">
        <f t="shared" si="53"/>
        <v/>
      </c>
      <c r="FR50" s="979">
        <v>20</v>
      </c>
      <c r="FS50" s="101" t="s">
        <v>124</v>
      </c>
      <c r="FT50" s="102" t="str">
        <f t="shared" si="120"/>
        <v/>
      </c>
      <c r="FU50" s="980" t="e">
        <f>IF($FT50&gt;$FT51,VLOOKUP($FT50,参照データ!$D$92:$K$121,8,0),VLOOKUP($FT51,参照データ!$D$92:$K$121,8,0))</f>
        <v>#N/A</v>
      </c>
      <c r="FV50" s="356" t="str">
        <f>IFERROR(VLOOKUP($FU50,参照データ!$K$92:$O$121,5,0),"")</f>
        <v/>
      </c>
      <c r="FY50" s="40">
        <f>(COUNTIF($J50:$O50,"&lt;&gt;"))*参照データ!$E$3</f>
        <v>0</v>
      </c>
      <c r="FZ50" s="267" t="str">
        <f>IF($P50="○",参照データ!$E$4,"")</f>
        <v/>
      </c>
      <c r="GA50" s="19">
        <f>(SUM(COUNTIF($Q50:$U50,{"入門","初級"}))*参照データ!$E$9)+(SUM(COUNTIF($Q50:$U50,{"中級","上級"})*参照データ!$E$10))</f>
        <v>0</v>
      </c>
      <c r="GB50" s="19">
        <f>IFERROR(VLOOKUP($V50,参照データ!$D$9:$J$11,7,0),0)</f>
        <v>0</v>
      </c>
      <c r="GC50" s="19">
        <f>((COUNTIF($Y50:$AG50,"オープン"))*参照データ!$E$12)</f>
        <v>0</v>
      </c>
      <c r="GD50" s="19" t="str">
        <f>(IF($AI50="オープン",参照データ!$J$12,""))</f>
        <v/>
      </c>
      <c r="GE50" s="19">
        <f>(COUNTIF($AN50:$AU50,"○")*参照データ!$E$22)</f>
        <v>0</v>
      </c>
      <c r="GF50" s="19">
        <f>(COUNTIF($AV50:$BA50,"○")*参照データ!$I$22)</f>
        <v>0</v>
      </c>
      <c r="GI50" s="19">
        <f>((COUNTIF($Y50:$AG50,"選手権"))*参照データ!$E$13)</f>
        <v>0</v>
      </c>
      <c r="GJ50" s="19" t="str">
        <f>(IF($AI50="選手権",参照データ!$J$13,""))</f>
        <v/>
      </c>
      <c r="GK50" s="106">
        <f t="array" ref="GK50">SUM(IF(ISERROR(FY50:GJ50),0,(FY50:GJ50)))</f>
        <v>0</v>
      </c>
      <c r="GL50" s="19"/>
      <c r="GM50" s="19">
        <f t="shared" si="54"/>
        <v>0</v>
      </c>
      <c r="GN50" s="19">
        <f t="shared" si="55"/>
        <v>0</v>
      </c>
      <c r="GO50" s="19">
        <f t="shared" si="56"/>
        <v>0</v>
      </c>
      <c r="GP50" s="19">
        <f t="shared" si="121"/>
        <v>0</v>
      </c>
      <c r="GQ50" s="19">
        <f t="shared" si="57"/>
        <v>0</v>
      </c>
      <c r="GR50" s="19">
        <f t="shared" si="58"/>
        <v>0</v>
      </c>
      <c r="GS50" s="19">
        <f t="shared" si="59"/>
        <v>0</v>
      </c>
      <c r="GT50" s="19">
        <f t="shared" si="60"/>
        <v>0</v>
      </c>
      <c r="GU50" s="19">
        <f t="shared" si="61"/>
        <v>0</v>
      </c>
      <c r="GV50" t="str">
        <f t="shared" si="122"/>
        <v/>
      </c>
      <c r="GW50" t="str">
        <f t="shared" si="62"/>
        <v/>
      </c>
      <c r="GX50" t="str">
        <f t="shared" si="123"/>
        <v/>
      </c>
      <c r="GY50" t="str">
        <f t="shared" si="63"/>
        <v/>
      </c>
      <c r="GZ50" t="str">
        <f t="shared" si="124"/>
        <v/>
      </c>
    </row>
    <row r="51" spans="1:208" ht="18.75" customHeight="1" x14ac:dyDescent="0.15">
      <c r="A51">
        <v>40</v>
      </c>
      <c r="B51" s="15" t="str">
        <f>IF(D51="","",IF(D51="重複","",COUNTIF(B$12:$B50,"&gt;0")+1))</f>
        <v/>
      </c>
      <c r="C51" s="713"/>
      <c r="D51" s="185"/>
      <c r="E51" s="185"/>
      <c r="F51" s="36"/>
      <c r="G51" s="47"/>
      <c r="H51" s="402">
        <f t="shared" si="112"/>
        <v>0</v>
      </c>
      <c r="I51" s="201" t="str">
        <f>IF($BJ51=0,"",DATEDIF($BJ51,参照データ!$D$16,"Y"))</f>
        <v/>
      </c>
      <c r="J51" s="41"/>
      <c r="K51" s="41"/>
      <c r="L51" s="41"/>
      <c r="M51" s="41"/>
      <c r="N51" s="41"/>
      <c r="O51" s="49"/>
      <c r="P51" s="395"/>
      <c r="Q51" s="51"/>
      <c r="R51" s="289"/>
      <c r="S51" s="289"/>
      <c r="T51" s="289"/>
      <c r="U51" s="290"/>
      <c r="V51" s="293"/>
      <c r="W51" s="295"/>
      <c r="Y51" s="446"/>
      <c r="Z51" s="396" t="str">
        <f>IF($Y51="オープン",VLOOKUP($CO51,参照データ!$D$69:$M$86,9,0),IF($Y51="選手権",VLOOKUP($FC51,参照データ!$D$92:$O$121,10,0),""))</f>
        <v/>
      </c>
      <c r="AA51" s="446"/>
      <c r="AB51" s="666" t="str">
        <f>IF($AA51="オープン",VLOOKUP($CO51,参照データ!$D$69:$M$86,10,0),IF($AA51="選手権",VLOOKUP($FC51,参照データ!$D$92:$O$121,11,0),""))</f>
        <v/>
      </c>
      <c r="AC51" s="669"/>
      <c r="AD51" s="396" t="str">
        <f>IF($AC51="オープン",VLOOKUP($CO51,参照データ!$D$69:$M$86,10,0),IF($AC51="選手権",VLOOKUP($FC51,参照データ!$D$92:$O$121,11,0),""))</f>
        <v/>
      </c>
      <c r="AE51" s="446"/>
      <c r="AF51" s="396" t="str">
        <f>IF($AE51="オープン",VLOOKUP($CO51,参照データ!$D$69:$M$86,10,0),IF($AE51="選手権",VLOOKUP($FJ51,参照データ!$D$92:$O$121,12,0),""))</f>
        <v/>
      </c>
      <c r="AG51" s="446"/>
      <c r="AH51" s="396" t="str">
        <f>IF($AG51="オープン",VLOOKUP($CO51,参照データ!$D$69:$M$86,10,0),IF($AG51="選手権",VLOOKUP($FJ51,参照データ!$D$92:$O$121,12,0),""))</f>
        <v/>
      </c>
      <c r="AI51" s="446"/>
      <c r="AJ51" s="449"/>
      <c r="AK51" s="396" t="str">
        <f t="shared" si="113"/>
        <v/>
      </c>
      <c r="AL51" s="587"/>
      <c r="AM51" s="588" t="str">
        <f>IF($BJ51=0,"",DATEDIF($BJ51,参照データ!$D$17,"Y"))</f>
        <v/>
      </c>
      <c r="AN51" s="450"/>
      <c r="AO51" s="591" t="str">
        <f>IF(AN51="","",IF($BK51="男子",VLOOKUP($DI51,参照データ!$D$128:$M$145,10,FALSE),VLOOKUP($DH51,参照データ!$D$128:$M$145,10,FALSE)))</f>
        <v/>
      </c>
      <c r="AP51" s="450"/>
      <c r="AQ51" s="591" t="str">
        <f>IF(AP51="","",IF($BK51="男子",VLOOKUP($DI51,参照データ!$D$128:$M$145,10,FALSE),VLOOKUP($DH51,参照データ!$D$128:$M$145,10,FALSE)))</f>
        <v/>
      </c>
      <c r="AR51" s="450"/>
      <c r="AS51" s="591" t="str">
        <f>IF(AR51="","",IF($BK51="男子",VLOOKUP($DI51,参照データ!$D$128:$M$145,10,FALSE),VLOOKUP($DH51,参照データ!$D$128:$M$145,10,FALSE)))</f>
        <v/>
      </c>
      <c r="AT51" s="450"/>
      <c r="AU51" s="591" t="str">
        <f>IF(AT51="","",IF($BK51="男子",VLOOKUP($DI51,参照データ!$D$128:$M$145,10,FALSE),VLOOKUP($DH51,参照データ!$D$128:$M$145,10,FALSE)))</f>
        <v/>
      </c>
      <c r="AV51" s="448"/>
      <c r="AW51" s="448"/>
      <c r="AX51" s="585" t="str">
        <f t="shared" si="25"/>
        <v/>
      </c>
      <c r="AY51" s="448"/>
      <c r="AZ51" s="448"/>
      <c r="BA51" s="585" t="str">
        <f t="shared" si="83"/>
        <v/>
      </c>
      <c r="BB51" s="677"/>
      <c r="BC51" s="724"/>
      <c r="BD51" s="640"/>
      <c r="BE51" s="482"/>
      <c r="BF51" s="365"/>
      <c r="BG51" s="366"/>
      <c r="BJ51">
        <f t="shared" si="75"/>
        <v>0</v>
      </c>
      <c r="BK51" t="str">
        <f t="shared" si="65"/>
        <v/>
      </c>
      <c r="BL51" s="146"/>
      <c r="BO51" s="61" t="str">
        <f>IF($BJ51=0,"",IF(AND($I51&gt;=6,$I51&lt;=19),VLOOKUP($I51,参照データ!$B$28:$C$41,2,0),IF($I51&lt;6,6,19)))</f>
        <v/>
      </c>
      <c r="BP51" s="178" t="str">
        <f>IF($J51=$BI$12,VLOOKUP($BO51,参照データ!$C$28:$I$41,2,0),"")</f>
        <v/>
      </c>
      <c r="BQ51" s="169" t="str">
        <f>IF($K51=$BI$12,VLOOKUP($BO51,参照データ!$C$28:$I$41,3,0),"")</f>
        <v/>
      </c>
      <c r="BR51" s="169" t="str">
        <f>IF($L51=$BI$12,VLOOKUP($BO51,参照データ!$C$28:$I$41,4,0),"")</f>
        <v/>
      </c>
      <c r="BS51" s="169" t="str">
        <f>IF($M51=$BI$12,VLOOKUP($BO51,参照データ!$C$28:$I$41,5,0),"")</f>
        <v/>
      </c>
      <c r="BT51" s="169" t="str">
        <f>IF($N51=$BI$12,VLOOKUP($BO51,参照データ!$C$28:$I$41,6,0),"")</f>
        <v/>
      </c>
      <c r="BU51" s="179" t="str">
        <f>IF($O51=$BI$12,VLOOKUP($BO51,参照データ!$C$28:$I$41,7,0),"")</f>
        <v/>
      </c>
      <c r="BV51" s="178" t="str">
        <f>IF($J51=$BI$13,VLOOKUP($BO51,参照データ!$C$28:$I$41,2,0),"")</f>
        <v/>
      </c>
      <c r="BW51" s="169" t="str">
        <f>IF($K51=$BI$13,VLOOKUP($BO51,参照データ!$C$28:$I$41,3,0),"")</f>
        <v/>
      </c>
      <c r="BX51" s="169" t="str">
        <f>IF($L51=$BI$13,VLOOKUP($BO51,参照データ!$C$28:$I$41,4,0),"")</f>
        <v/>
      </c>
      <c r="BY51" s="169" t="str">
        <f>IF($M51=$BI$13,VLOOKUP($BO51,参照データ!$C$28:$I$41,5,0),"")</f>
        <v/>
      </c>
      <c r="BZ51" s="169" t="str">
        <f>IF($N51=$BI$13,VLOOKUP($BO51,参照データ!$C$28:$I$41,6,0),"")</f>
        <v/>
      </c>
      <c r="CA51" s="179" t="str">
        <f>IF($O51=$BI$13,VLOOKUP($BO51,参照データ!$C$28:$I$41,7,0),"")</f>
        <v/>
      </c>
      <c r="CB51" s="271" t="str">
        <f t="shared" si="26"/>
        <v/>
      </c>
      <c r="CC51" s="177" t="str">
        <f>IF($Q51="入門",VLOOKUP($BO51,参照データ!$C$47:$U$60,2,0),IF($Q51="初級",VLOOKUP($BO51,参照データ!$C$47:$U$60,3,0),IF($Q51="中級",VLOOKUP($BO51,参照データ!$C$47:$U$60,4,0),IF($Q51="上級",VLOOKUP($BO51,参照データ!$C$47:$U$60,5,0),""))))</f>
        <v/>
      </c>
      <c r="CD51" s="177" t="str">
        <f>IF($R51="初級",VLOOKUP($BO51,参照データ!$C$47:$U$60,6,0),IF($R51="中級",VLOOKUP($BO51,参照データ!$C$47:$U$60,7,0),IF($R51="上級",VLOOKUP($BO51,参照データ!$C$47:$U$60,8,0),"")))</f>
        <v/>
      </c>
      <c r="CE51" s="177" t="str">
        <f>IF($S51="初級",VLOOKUP($BO51,参照データ!$C$47:$U$60,9,0),IF($S51="上級",VLOOKUP($BO51,参照データ!$C$47:$U$60,10,0),""))</f>
        <v/>
      </c>
      <c r="CF51" s="177" t="str">
        <f>IF($T51="初級",VLOOKUP($BO51,参照データ!$C$47:$U$60,11,0),IF($T51="中級",VLOOKUP($BO51,参照データ!$C$47:$U$60,12,0),IF($T51="上級",VLOOKUP($BO51,参照データ!$C$47:$U$60,13,0),"")))</f>
        <v/>
      </c>
      <c r="CG51" s="177" t="str">
        <f>IF($U51="初級",VLOOKUP($BO51,参照データ!$C$47:$U$60,14,0),IF($U51="中級",VLOOKUP($BO51,参照データ!$C$47:$U$60,15,0),IF($U51="上級",VLOOKUP($BO51,参照データ!$C$47:$U$60,16,0),"")))</f>
        <v/>
      </c>
      <c r="CH51" s="55" t="str">
        <f t="shared" si="5"/>
        <v/>
      </c>
      <c r="CI51" s="55" t="str">
        <f>IF($V51="初級",VLOOKUP($BO51,参照データ!$C$47:$U$60,17,0),IF($V51="中級",VLOOKUP($BO51,参照データ!$C$47:$U$60,18,0),IF($V51="上級",VLOOKUP($BO51,参照データ!$C$47:$U$60,19,0),"")))</f>
        <v/>
      </c>
      <c r="CJ51" s="868"/>
      <c r="CK51" s="73" t="s">
        <v>275</v>
      </c>
      <c r="CL51" s="150" t="str">
        <f t="shared" si="6"/>
        <v/>
      </c>
      <c r="CM51" s="872"/>
      <c r="CO51" s="61">
        <f>IF(AND($BJ51&gt;=参照データ!$C$71,$BJ51&lt;=参照データ!$C$69),1,IF(AND($BJ51&gt;=参照データ!$C$74,$BJ51&lt;=参照データ!$C$72),2,IF(AND($BJ51&gt;=参照データ!$C$77,$BJ51&lt;=参照データ!$C$75),3,IF(AND($BJ51&gt;=参照データ!$C$80,$BJ51&lt;=参照データ!$C$78),4,IF(AND($BJ51&gt;=参照データ!$C$83,$BJ51&lt;=参照データ!$C$81),5,IF(AND($BJ51&gt;0,$BJ51&lt;=参照データ!$C$84),6,""))))))</f>
        <v>5</v>
      </c>
      <c r="CP51" s="160" t="str">
        <f>IF($Y51="オープン",(VLOOKUP($CO51,参照データ!$D$69:$J$86,2,0)),"")</f>
        <v/>
      </c>
      <c r="CQ51" s="79" t="str">
        <f t="shared" si="27"/>
        <v/>
      </c>
      <c r="CR51" s="78" t="str">
        <f>IF($AA51="オープン",(VLOOKUP($CO51,参照データ!$D$69:$J$86,3,0)),"")</f>
        <v/>
      </c>
      <c r="CS51" s="79" t="str">
        <f t="shared" si="28"/>
        <v/>
      </c>
      <c r="CT51" s="78" t="str">
        <f>IF($AC51="オープン",(VLOOKUP($CO51,参照データ!$D$69:$J$86,4,0)),"")</f>
        <v/>
      </c>
      <c r="CU51" s="79" t="str">
        <f t="shared" si="29"/>
        <v/>
      </c>
      <c r="CV51" s="78" t="str">
        <f>IF($AE51="オープン",(VLOOKUP($CO51,参照データ!$D$69:$J$86,5,0)),"")</f>
        <v/>
      </c>
      <c r="CW51" s="79" t="str">
        <f t="shared" si="7"/>
        <v/>
      </c>
      <c r="CX51" s="78" t="str">
        <f>IF($AG51="オープン",(VLOOKUP($CO51,参照データ!$D$69:$J$86,6,0)),"")</f>
        <v/>
      </c>
      <c r="CY51" s="79" t="str">
        <f t="shared" si="30"/>
        <v/>
      </c>
      <c r="CZ51" s="38" t="str">
        <f t="shared" si="31"/>
        <v/>
      </c>
      <c r="DA51" s="37" t="str">
        <f t="shared" si="32"/>
        <v/>
      </c>
      <c r="DB51" s="79" t="str">
        <f t="shared" si="33"/>
        <v/>
      </c>
      <c r="DC51" s="858"/>
      <c r="DD51" s="85" t="s">
        <v>125</v>
      </c>
      <c r="DE51" s="86" t="str">
        <f t="shared" si="34"/>
        <v/>
      </c>
      <c r="DF51" s="860"/>
      <c r="DG51" s="350" t="str">
        <f t="shared" ref="DG51" si="131">$DG50</f>
        <v/>
      </c>
      <c r="DH51" s="523">
        <f>IF(AND($BJ51&gt;=参照データ!$C$130,$BJ51&lt;=参照データ!$C$128),1,IF(AND($BJ51&gt;=参照データ!$C$133,$BJ51&lt;=参照データ!$C$131),2,IF(AND($BJ51&gt;=参照データ!$C$139,$BJ51&lt;=参照データ!$C$137),3,IF(AND($BJ51&gt;0,$BJ51&lt;=参照データ!$C$140),4,""))))</f>
        <v>1</v>
      </c>
      <c r="DI51" s="523">
        <f t="shared" si="35"/>
        <v>7</v>
      </c>
      <c r="DJ51" s="523" t="str">
        <f t="shared" si="36"/>
        <v/>
      </c>
      <c r="DK51" s="524" t="str">
        <f>IF($AN51="","",IF(AND($AN51="○",$BK51="男子"),VLOOKUP($DI51,参照データ!$D$128:$J$145,3,FALSE),VLOOKUP($DH51,参照データ!$D$128:$J$145,3,FALSE)))</f>
        <v/>
      </c>
      <c r="DL51" s="525" t="str">
        <f t="shared" si="37"/>
        <v/>
      </c>
      <c r="DM51" s="524" t="str">
        <f>IF($AP51="","",IF(AND($AP51="○",$BK51="男子"),VLOOKUP($DI51,参照データ!$D$128:$J$145,4,FALSE),VLOOKUP($DH51,参照データ!$D$128:$J$145,4,FALSE)))</f>
        <v/>
      </c>
      <c r="DN51" s="525" t="str">
        <f t="shared" si="38"/>
        <v/>
      </c>
      <c r="DO51" s="524" t="str">
        <f>IF($AR51="","",IF(AND($AR51="○",$BK51="男子"),VLOOKUP($DI51,参照データ!$D$128:$J$145,5,FALSE),VLOOKUP($DH51,参照データ!$D$128:$J$145,5,FALSE)))</f>
        <v/>
      </c>
      <c r="DP51" s="525" t="str">
        <f t="shared" si="39"/>
        <v/>
      </c>
      <c r="DQ51" s="524" t="str">
        <f>IF($AT51="","",IF(AND($AT51="○",$BK51="男子"),VLOOKUP($DI51,参照データ!$D$128:$J$145,6,FALSE),VLOOKUP($DH51,参照データ!$D$128:$J$145,6,FALSE)))</f>
        <v/>
      </c>
      <c r="DR51" s="525" t="str">
        <f t="shared" si="40"/>
        <v/>
      </c>
      <c r="DS51" s="526" t="str">
        <f t="shared" si="41"/>
        <v/>
      </c>
      <c r="DT51" s="527" t="str">
        <f t="shared" si="42"/>
        <v/>
      </c>
      <c r="DU51" s="528" t="str">
        <f t="shared" si="43"/>
        <v/>
      </c>
      <c r="DV51" s="983"/>
      <c r="DW51" s="531" t="s">
        <v>125</v>
      </c>
      <c r="DX51" s="532" t="str">
        <f t="shared" si="92"/>
        <v/>
      </c>
      <c r="DY51" s="994"/>
      <c r="DZ51" s="692" t="str">
        <f>$DZ50</f>
        <v/>
      </c>
      <c r="EA51" s="526" t="str">
        <f t="shared" si="85"/>
        <v/>
      </c>
      <c r="EB51" s="527" t="str">
        <f t="shared" si="86"/>
        <v/>
      </c>
      <c r="EC51" s="528" t="str">
        <f t="shared" si="87"/>
        <v/>
      </c>
      <c r="ED51" s="983"/>
      <c r="EE51" s="531" t="s">
        <v>125</v>
      </c>
      <c r="EF51" s="531" t="str">
        <f t="shared" si="88"/>
        <v/>
      </c>
      <c r="EG51" s="532" t="str">
        <f>IF(SUM(EF50:EF51)&lt;24,"",IF(SUM(EF50:EF51)&gt;=36,3,2))</f>
        <v/>
      </c>
      <c r="EH51" s="994"/>
      <c r="EI51" s="527" t="str">
        <f>$EI50</f>
        <v/>
      </c>
      <c r="EJ51" s="555" t="str">
        <f t="shared" si="13"/>
        <v/>
      </c>
      <c r="EK51" s="556" t="str">
        <f t="shared" si="44"/>
        <v/>
      </c>
      <c r="EL51" s="847"/>
      <c r="EM51" s="563" t="s">
        <v>811</v>
      </c>
      <c r="EN51" s="564" t="str">
        <f t="shared" si="45"/>
        <v/>
      </c>
      <c r="EO51" s="850"/>
      <c r="EP51" s="555" t="str">
        <f t="shared" si="115"/>
        <v/>
      </c>
      <c r="EQ51" s="556" t="str">
        <f t="shared" si="46"/>
        <v/>
      </c>
      <c r="ER51" s="847"/>
      <c r="ES51" s="563" t="s">
        <v>811</v>
      </c>
      <c r="ET51" s="564" t="str">
        <f t="shared" si="47"/>
        <v/>
      </c>
      <c r="EU51" s="850"/>
      <c r="EV51" s="38" t="str">
        <f t="shared" si="116"/>
        <v/>
      </c>
      <c r="EW51" s="552" t="str">
        <f t="shared" si="48"/>
        <v/>
      </c>
      <c r="EX51" s="833"/>
      <c r="EY51" s="559" t="s">
        <v>777</v>
      </c>
      <c r="EZ51" s="560" t="str">
        <f t="shared" si="49"/>
        <v/>
      </c>
      <c r="FA51" s="835"/>
      <c r="FB51" t="str">
        <f>IF($FC51="","",DATEDIF($BJ51,参照データ!$D$19,"Y"))</f>
        <v/>
      </c>
      <c r="FC51" s="298" t="str">
        <f>IFERROR(IF($BK51="男子",VLOOKUP($FJ51,参照データ!$D$92:$E$118,2,0),$FJ51),0)</f>
        <v/>
      </c>
      <c r="FD51" s="92" t="str">
        <f>IF($Y51="選手権",(VLOOKUP($FC51,参照データ!$D$92:$K$121,3,0)),"")</f>
        <v/>
      </c>
      <c r="FE51" s="93" t="str">
        <f t="shared" si="117"/>
        <v/>
      </c>
      <c r="FF51" s="92" t="str">
        <f>IF($AA51="選手権",(VLOOKUP($FC51,参照データ!$D$92:$K$121,4,0)),"")</f>
        <v/>
      </c>
      <c r="FG51" s="93" t="str">
        <f t="shared" si="118"/>
        <v/>
      </c>
      <c r="FH51" s="92" t="str">
        <f>IF($AC51="選手権",(VLOOKUP($FC51,参照データ!$D$92:$K$121,5,0)),"")</f>
        <v/>
      </c>
      <c r="FI51" s="93" t="str">
        <f t="shared" si="119"/>
        <v/>
      </c>
      <c r="FJ51" s="61" t="str">
        <f>IF(AND($BJ51&gt;=参照データ!$C$94,$BJ51&lt;=参照データ!$C$92),1,IF(AND($BJ51&gt;=参照データ!$C$97,$BJ51&lt;=参照データ!$C$95),2,IF(AND($BJ51&gt;=参照データ!$C$103,$BJ51&lt;=参照データ!$C$101),3,IF(AND($BJ51&gt;=参照データ!$C$109,$BJ51&lt;=参照データ!$C$107),4,IF(AND($BJ51&gt;=参照データ!$C$115,$BJ51&lt;=参照データ!$C$113),5,IF(AND($BJ51&gt;0,$BJ51&lt;=参照データ!$C$116),6,""))))))</f>
        <v/>
      </c>
      <c r="FK51" s="92" t="str">
        <f>IF($AE51="選手権",(VLOOKUP($FJ51,参照データ!$D$92:$K$121,6,0)),"")</f>
        <v/>
      </c>
      <c r="FL51" s="93" t="str">
        <f t="shared" si="19"/>
        <v/>
      </c>
      <c r="FM51" s="92" t="str">
        <f>IF($AG51="選手権",(VLOOKUP($FJ51,参照データ!$D$92:$K$121,7,0)),"")</f>
        <v/>
      </c>
      <c r="FN51" s="93" t="str">
        <f t="shared" si="50"/>
        <v/>
      </c>
      <c r="FO51" s="38" t="str">
        <f t="shared" si="51"/>
        <v/>
      </c>
      <c r="FP51" s="37" t="str">
        <f t="shared" si="52"/>
        <v/>
      </c>
      <c r="FQ51" s="93" t="str">
        <f t="shared" si="53"/>
        <v/>
      </c>
      <c r="FR51" s="976"/>
      <c r="FS51" s="99" t="s">
        <v>125</v>
      </c>
      <c r="FT51" s="100" t="str">
        <f t="shared" si="120"/>
        <v/>
      </c>
      <c r="FU51" s="978"/>
      <c r="FV51" s="356" t="str">
        <f t="shared" ref="FV51" si="132">$FV50</f>
        <v/>
      </c>
      <c r="FY51" s="40">
        <f>(COUNTIF($J51:$O51,"&lt;&gt;"))*参照データ!$E$3</f>
        <v>0</v>
      </c>
      <c r="FZ51" s="267" t="str">
        <f>IF($P51="○",参照データ!$E$4,"")</f>
        <v/>
      </c>
      <c r="GA51" s="19">
        <f>(SUM(COUNTIF($Q51:$U51,{"入門","初級"}))*参照データ!$E$9)+(SUM(COUNTIF($Q51:$U51,{"中級","上級"})*参照データ!$E$10))</f>
        <v>0</v>
      </c>
      <c r="GB51" s="19">
        <f>IFERROR(VLOOKUP($V51,参照データ!$D$9:$J$11,7,0),0)</f>
        <v>0</v>
      </c>
      <c r="GC51" s="19">
        <f>((COUNTIF($Y51:$AG51,"オープン"))*参照データ!$E$12)</f>
        <v>0</v>
      </c>
      <c r="GD51" s="19" t="str">
        <f>(IF($AI51="オープン",参照データ!$J$12,""))</f>
        <v/>
      </c>
      <c r="GE51" s="19">
        <f>(COUNTIF($AN51:$AU51,"○")*参照データ!$E$22)</f>
        <v>0</v>
      </c>
      <c r="GF51" s="19">
        <f>(COUNTIF($AV51:$BA51,"○")*参照データ!$I$22)</f>
        <v>0</v>
      </c>
      <c r="GI51" s="19">
        <f>((COUNTIF($Y51:$AG51,"選手権"))*参照データ!$E$13)</f>
        <v>0</v>
      </c>
      <c r="GJ51" s="19" t="str">
        <f>(IF($AI51="選手権",参照データ!$J$13,""))</f>
        <v/>
      </c>
      <c r="GK51" s="106">
        <f t="array" ref="GK51">SUM(IF(ISERROR(FY51:GJ51),0,(FY51:GJ51)))</f>
        <v>0</v>
      </c>
      <c r="GL51" s="19"/>
      <c r="GM51" s="19">
        <f t="shared" si="54"/>
        <v>0</v>
      </c>
      <c r="GN51" s="19">
        <f t="shared" si="55"/>
        <v>0</v>
      </c>
      <c r="GO51" s="19">
        <f t="shared" si="56"/>
        <v>0</v>
      </c>
      <c r="GP51" s="19">
        <f t="shared" si="121"/>
        <v>0</v>
      </c>
      <c r="GQ51" s="19">
        <f t="shared" si="57"/>
        <v>0</v>
      </c>
      <c r="GR51" s="19">
        <f t="shared" si="58"/>
        <v>0</v>
      </c>
      <c r="GS51" s="19">
        <f t="shared" si="59"/>
        <v>0</v>
      </c>
      <c r="GT51" s="19">
        <f t="shared" si="60"/>
        <v>0</v>
      </c>
      <c r="GU51" s="19">
        <f t="shared" si="61"/>
        <v>0</v>
      </c>
      <c r="GV51" t="str">
        <f t="shared" si="122"/>
        <v/>
      </c>
      <c r="GW51" t="str">
        <f t="shared" si="62"/>
        <v/>
      </c>
      <c r="GX51" t="str">
        <f t="shared" si="123"/>
        <v/>
      </c>
      <c r="GY51" t="str">
        <f t="shared" si="63"/>
        <v/>
      </c>
      <c r="GZ51" t="str">
        <f t="shared" si="124"/>
        <v/>
      </c>
    </row>
    <row r="52" spans="1:208" ht="18.75" customHeight="1" x14ac:dyDescent="0.15">
      <c r="A52">
        <v>41</v>
      </c>
      <c r="B52" s="15" t="str">
        <f>IF(D52="","",IF(D52="重複","",COUNTIF(B$12:$B51,"&gt;0")+1))</f>
        <v/>
      </c>
      <c r="C52" s="713"/>
      <c r="D52" s="185"/>
      <c r="E52" s="185"/>
      <c r="F52" s="36"/>
      <c r="G52" s="47"/>
      <c r="H52" s="402">
        <f t="shared" si="112"/>
        <v>0</v>
      </c>
      <c r="I52" s="201" t="str">
        <f>IF($BJ52=0,"",DATEDIF($BJ52,参照データ!$D$16,"Y"))</f>
        <v/>
      </c>
      <c r="J52" s="41"/>
      <c r="K52" s="41"/>
      <c r="L52" s="41"/>
      <c r="M52" s="41"/>
      <c r="N52" s="41"/>
      <c r="O52" s="49"/>
      <c r="P52" s="395"/>
      <c r="Q52" s="51"/>
      <c r="R52" s="289"/>
      <c r="S52" s="289"/>
      <c r="T52" s="289"/>
      <c r="U52" s="290"/>
      <c r="V52" s="293"/>
      <c r="W52" s="295"/>
      <c r="Y52" s="446"/>
      <c r="Z52" s="396" t="str">
        <f>IF($Y52="オープン",VLOOKUP($CO52,参照データ!$D$69:$M$86,9,0),IF($Y52="選手権",VLOOKUP($FC52,参照データ!$D$92:$O$121,10,0),""))</f>
        <v/>
      </c>
      <c r="AA52" s="446"/>
      <c r="AB52" s="666" t="str">
        <f>IF($AA52="オープン",VLOOKUP($CO52,参照データ!$D$69:$M$86,10,0),IF($AA52="選手権",VLOOKUP($FC52,参照データ!$D$92:$O$121,11,0),""))</f>
        <v/>
      </c>
      <c r="AC52" s="669"/>
      <c r="AD52" s="396" t="str">
        <f>IF($AC52="オープン",VLOOKUP($CO52,参照データ!$D$69:$M$86,10,0),IF($AC52="選手権",VLOOKUP($FC52,参照データ!$D$92:$O$121,11,0),""))</f>
        <v/>
      </c>
      <c r="AE52" s="446"/>
      <c r="AF52" s="396" t="str">
        <f>IF($AE52="オープン",VLOOKUP($CO52,参照データ!$D$69:$M$86,10,0),IF($AE52="選手権",VLOOKUP($FJ52,参照データ!$D$92:$O$121,12,0),""))</f>
        <v/>
      </c>
      <c r="AG52" s="446"/>
      <c r="AH52" s="396" t="str">
        <f>IF($AG52="オープン",VLOOKUP($CO52,参照データ!$D$69:$M$86,10,0),IF($AG52="選手権",VLOOKUP($FJ52,参照データ!$D$92:$O$121,12,0),""))</f>
        <v/>
      </c>
      <c r="AI52" s="446"/>
      <c r="AJ52" s="449"/>
      <c r="AK52" s="396" t="str">
        <f t="shared" si="113"/>
        <v/>
      </c>
      <c r="AL52" s="587"/>
      <c r="AM52" s="588" t="str">
        <f>IF($BJ52=0,"",DATEDIF($BJ52,参照データ!$D$17,"Y"))</f>
        <v/>
      </c>
      <c r="AN52" s="450"/>
      <c r="AO52" s="591" t="str">
        <f>IF(AN52="","",IF($BK52="男子",VLOOKUP($DI52,参照データ!$D$128:$M$145,10,FALSE),VLOOKUP($DH52,参照データ!$D$128:$M$145,10,FALSE)))</f>
        <v/>
      </c>
      <c r="AP52" s="450"/>
      <c r="AQ52" s="591" t="str">
        <f>IF(AP52="","",IF($BK52="男子",VLOOKUP($DI52,参照データ!$D$128:$M$145,10,FALSE),VLOOKUP($DH52,参照データ!$D$128:$M$145,10,FALSE)))</f>
        <v/>
      </c>
      <c r="AR52" s="450"/>
      <c r="AS52" s="591" t="str">
        <f>IF(AR52="","",IF($BK52="男子",VLOOKUP($DI52,参照データ!$D$128:$M$145,10,FALSE),VLOOKUP($DH52,参照データ!$D$128:$M$145,10,FALSE)))</f>
        <v/>
      </c>
      <c r="AT52" s="450"/>
      <c r="AU52" s="591" t="str">
        <f>IF(AT52="","",IF($BK52="男子",VLOOKUP($DI52,参照データ!$D$128:$M$145,10,FALSE),VLOOKUP($DH52,参照データ!$D$128:$M$145,10,FALSE)))</f>
        <v/>
      </c>
      <c r="AV52" s="448"/>
      <c r="AW52" s="448"/>
      <c r="AX52" s="585" t="str">
        <f t="shared" si="25"/>
        <v/>
      </c>
      <c r="AY52" s="448"/>
      <c r="AZ52" s="448"/>
      <c r="BA52" s="585" t="str">
        <f t="shared" si="83"/>
        <v/>
      </c>
      <c r="BB52" s="677"/>
      <c r="BC52" s="724"/>
      <c r="BD52" s="640"/>
      <c r="BE52" s="482"/>
      <c r="BF52" s="365"/>
      <c r="BG52" s="366"/>
      <c r="BJ52">
        <f t="shared" si="75"/>
        <v>0</v>
      </c>
      <c r="BK52" t="str">
        <f t="shared" si="65"/>
        <v/>
      </c>
      <c r="BL52" s="146"/>
      <c r="BO52" s="61" t="str">
        <f>IF($BJ52=0,"",IF(AND($I52&gt;=6,$I52&lt;=19),VLOOKUP($I52,参照データ!$B$28:$C$41,2,0),IF($I52&lt;6,6,19)))</f>
        <v/>
      </c>
      <c r="BP52" s="178" t="str">
        <f>IF($J52=$BI$12,VLOOKUP($BO52,参照データ!$C$28:$I$41,2,0),"")</f>
        <v/>
      </c>
      <c r="BQ52" s="169" t="str">
        <f>IF($K52=$BI$12,VLOOKUP($BO52,参照データ!$C$28:$I$41,3,0),"")</f>
        <v/>
      </c>
      <c r="BR52" s="169" t="str">
        <f>IF($L52=$BI$12,VLOOKUP($BO52,参照データ!$C$28:$I$41,4,0),"")</f>
        <v/>
      </c>
      <c r="BS52" s="169" t="str">
        <f>IF($M52=$BI$12,VLOOKUP($BO52,参照データ!$C$28:$I$41,5,0),"")</f>
        <v/>
      </c>
      <c r="BT52" s="169" t="str">
        <f>IF($N52=$BI$12,VLOOKUP($BO52,参照データ!$C$28:$I$41,6,0),"")</f>
        <v/>
      </c>
      <c r="BU52" s="179" t="str">
        <f>IF($O52=$BI$12,VLOOKUP($BO52,参照データ!$C$28:$I$41,7,0),"")</f>
        <v/>
      </c>
      <c r="BV52" s="178" t="str">
        <f>IF($J52=$BI$13,VLOOKUP($BO52,参照データ!$C$28:$I$41,2,0),"")</f>
        <v/>
      </c>
      <c r="BW52" s="169" t="str">
        <f>IF($K52=$BI$13,VLOOKUP($BO52,参照データ!$C$28:$I$41,3,0),"")</f>
        <v/>
      </c>
      <c r="BX52" s="169" t="str">
        <f>IF($L52=$BI$13,VLOOKUP($BO52,参照データ!$C$28:$I$41,4,0),"")</f>
        <v/>
      </c>
      <c r="BY52" s="169" t="str">
        <f>IF($M52=$BI$13,VLOOKUP($BO52,参照データ!$C$28:$I$41,5,0),"")</f>
        <v/>
      </c>
      <c r="BZ52" s="169" t="str">
        <f>IF($N52=$BI$13,VLOOKUP($BO52,参照データ!$C$28:$I$41,6,0),"")</f>
        <v/>
      </c>
      <c r="CA52" s="179" t="str">
        <f>IF($O52=$BI$13,VLOOKUP($BO52,参照データ!$C$28:$I$41,7,0),"")</f>
        <v/>
      </c>
      <c r="CB52" s="271" t="str">
        <f t="shared" si="26"/>
        <v/>
      </c>
      <c r="CC52" s="177" t="str">
        <f>IF($Q52="入門",VLOOKUP($BO52,参照データ!$C$47:$U$60,2,0),IF($Q52="初級",VLOOKUP($BO52,参照データ!$C$47:$U$60,3,0),IF($Q52="中級",VLOOKUP($BO52,参照データ!$C$47:$U$60,4,0),IF($Q52="上級",VLOOKUP($BO52,参照データ!$C$47:$U$60,5,0),""))))</f>
        <v/>
      </c>
      <c r="CD52" s="177" t="str">
        <f>IF($R52="初級",VLOOKUP($BO52,参照データ!$C$47:$U$60,6,0),IF($R52="中級",VLOOKUP($BO52,参照データ!$C$47:$U$60,7,0),IF($R52="上級",VLOOKUP($BO52,参照データ!$C$47:$U$60,8,0),"")))</f>
        <v/>
      </c>
      <c r="CE52" s="177" t="str">
        <f>IF($S52="初級",VLOOKUP($BO52,参照データ!$C$47:$U$60,9,0),IF($S52="上級",VLOOKUP($BO52,参照データ!$C$47:$U$60,10,0),""))</f>
        <v/>
      </c>
      <c r="CF52" s="177" t="str">
        <f>IF($T52="初級",VLOOKUP($BO52,参照データ!$C$47:$U$60,11,0),IF($T52="中級",VLOOKUP($BO52,参照データ!$C$47:$U$60,12,0),IF($T52="上級",VLOOKUP($BO52,参照データ!$C$47:$U$60,13,0),"")))</f>
        <v/>
      </c>
      <c r="CG52" s="177" t="str">
        <f>IF($U52="初級",VLOOKUP($BO52,参照データ!$C$47:$U$60,14,0),IF($U52="中級",VLOOKUP($BO52,参照データ!$C$47:$U$60,15,0),IF($U52="上級",VLOOKUP($BO52,参照データ!$C$47:$U$60,16,0),"")))</f>
        <v/>
      </c>
      <c r="CH52" s="55" t="str">
        <f t="shared" si="5"/>
        <v/>
      </c>
      <c r="CI52" s="55" t="str">
        <f>IF($V52="初級",VLOOKUP($BO52,参照データ!$C$47:$U$60,17,0),IF($V52="中級",VLOOKUP($BO52,参照データ!$C$47:$U$60,18,0),IF($V52="上級",VLOOKUP($BO52,参照データ!$C$47:$U$60,19,0),"")))</f>
        <v/>
      </c>
      <c r="CJ52" s="867">
        <v>21</v>
      </c>
      <c r="CK52" s="74" t="s">
        <v>276</v>
      </c>
      <c r="CL52" s="151" t="str">
        <f t="shared" si="6"/>
        <v/>
      </c>
      <c r="CM52" s="871" t="str">
        <f t="shared" ref="CM52" si="133">IF(OR($CL52="",$CL53=""),"",IF($CL52&gt;$CL53,$CL52,$CL53))</f>
        <v/>
      </c>
      <c r="CO52" s="61">
        <f>IF(AND($BJ52&gt;=参照データ!$C$71,$BJ52&lt;=参照データ!$C$69),1,IF(AND($BJ52&gt;=参照データ!$C$74,$BJ52&lt;=参照データ!$C$72),2,IF(AND($BJ52&gt;=参照データ!$C$77,$BJ52&lt;=参照データ!$C$75),3,IF(AND($BJ52&gt;=参照データ!$C$80,$BJ52&lt;=参照データ!$C$78),4,IF(AND($BJ52&gt;=参照データ!$C$83,$BJ52&lt;=参照データ!$C$81),5,IF(AND($BJ52&gt;0,$BJ52&lt;=参照データ!$C$84),6,""))))))</f>
        <v>5</v>
      </c>
      <c r="CP52" s="160" t="str">
        <f>IF($Y52="オープン",(VLOOKUP($CO52,参照データ!$D$69:$J$86,2,0)),"")</f>
        <v/>
      </c>
      <c r="CQ52" s="79" t="str">
        <f t="shared" si="27"/>
        <v/>
      </c>
      <c r="CR52" s="78" t="str">
        <f>IF($AA52="オープン",(VLOOKUP($CO52,参照データ!$D$69:$J$86,3,0)),"")</f>
        <v/>
      </c>
      <c r="CS52" s="79" t="str">
        <f t="shared" si="28"/>
        <v/>
      </c>
      <c r="CT52" s="78" t="str">
        <f>IF($AC52="オープン",(VLOOKUP($CO52,参照データ!$D$69:$J$86,4,0)),"")</f>
        <v/>
      </c>
      <c r="CU52" s="79" t="str">
        <f t="shared" si="29"/>
        <v/>
      </c>
      <c r="CV52" s="78" t="str">
        <f>IF($AE52="オープン",(VLOOKUP($CO52,参照データ!$D$69:$J$86,5,0)),"")</f>
        <v/>
      </c>
      <c r="CW52" s="79" t="str">
        <f t="shared" si="7"/>
        <v/>
      </c>
      <c r="CX52" s="78" t="str">
        <f>IF($AG52="オープン",(VLOOKUP($CO52,参照データ!$D$69:$J$86,6,0)),"")</f>
        <v/>
      </c>
      <c r="CY52" s="79" t="str">
        <f t="shared" si="30"/>
        <v/>
      </c>
      <c r="CZ52" s="38" t="str">
        <f t="shared" si="31"/>
        <v/>
      </c>
      <c r="DA52" s="37" t="str">
        <f t="shared" si="32"/>
        <v/>
      </c>
      <c r="DB52" s="79" t="str">
        <f t="shared" si="33"/>
        <v/>
      </c>
      <c r="DC52" s="857">
        <v>21</v>
      </c>
      <c r="DD52" s="87" t="s">
        <v>126</v>
      </c>
      <c r="DE52" s="88" t="str">
        <f t="shared" si="34"/>
        <v/>
      </c>
      <c r="DF52" s="859" t="e">
        <f>IF($DE52&gt;$DE53,VLOOKUP($DE52,参照データ!$D$69:$J$86,7,0),VLOOKUP($DE53,参照データ!$D$69:$J$86,7,0))</f>
        <v>#N/A</v>
      </c>
      <c r="DG52" s="350" t="str">
        <f>IFERROR(VLOOKUP($DF52,参照データ!$J$69:$M$86,4,0),"")</f>
        <v/>
      </c>
      <c r="DH52" s="523">
        <f>IF(AND($BJ52&gt;=参照データ!$C$130,$BJ52&lt;=参照データ!$C$128),1,IF(AND($BJ52&gt;=参照データ!$C$133,$BJ52&lt;=参照データ!$C$131),2,IF(AND($BJ52&gt;=参照データ!$C$139,$BJ52&lt;=参照データ!$C$137),3,IF(AND($BJ52&gt;0,$BJ52&lt;=参照データ!$C$140),4,""))))</f>
        <v>1</v>
      </c>
      <c r="DI52" s="523">
        <f t="shared" si="35"/>
        <v>7</v>
      </c>
      <c r="DJ52" s="523" t="str">
        <f t="shared" si="36"/>
        <v/>
      </c>
      <c r="DK52" s="524" t="str">
        <f>IF($AN52="","",IF(AND($AN52="○",$BK52="男子"),VLOOKUP($DI52,参照データ!$D$128:$J$145,3,FALSE),VLOOKUP($DH52,参照データ!$D$128:$J$145,3,FALSE)))</f>
        <v/>
      </c>
      <c r="DL52" s="525" t="str">
        <f t="shared" si="37"/>
        <v/>
      </c>
      <c r="DM52" s="524" t="str">
        <f>IF($AP52="","",IF(AND($AP52="○",$BK52="男子"),VLOOKUP($DI52,参照データ!$D$128:$J$145,4,FALSE),VLOOKUP($DH52,参照データ!$D$128:$J$145,4,FALSE)))</f>
        <v/>
      </c>
      <c r="DN52" s="525" t="str">
        <f t="shared" si="38"/>
        <v/>
      </c>
      <c r="DO52" s="524" t="str">
        <f>IF($AR52="","",IF(AND($AR52="○",$BK52="男子"),VLOOKUP($DI52,参照データ!$D$128:$J$145,5,FALSE),VLOOKUP($DH52,参照データ!$D$128:$J$145,5,FALSE)))</f>
        <v/>
      </c>
      <c r="DP52" s="525" t="str">
        <f t="shared" si="39"/>
        <v/>
      </c>
      <c r="DQ52" s="524" t="str">
        <f>IF($AT52="","",IF(AND($AT52="○",$BK52="男子"),VLOOKUP($DI52,参照データ!$D$128:$J$145,6,FALSE),VLOOKUP($DH52,参照データ!$D$128:$J$145,6,FALSE)))</f>
        <v/>
      </c>
      <c r="DR52" s="525" t="str">
        <f t="shared" si="40"/>
        <v/>
      </c>
      <c r="DS52" s="526" t="str">
        <f t="shared" si="41"/>
        <v/>
      </c>
      <c r="DT52" s="527" t="str">
        <f t="shared" si="42"/>
        <v/>
      </c>
      <c r="DU52" s="528" t="str">
        <f t="shared" si="43"/>
        <v/>
      </c>
      <c r="DV52" s="982">
        <v>21</v>
      </c>
      <c r="DW52" s="533" t="s">
        <v>126</v>
      </c>
      <c r="DX52" s="534" t="str">
        <f t="shared" si="92"/>
        <v/>
      </c>
      <c r="DY52" s="877" t="e">
        <f>IF($DX52&gt;$DX53,VLOOKUP($DX52,参照データ!$D$128:$K$145,7,0),VLOOKUP($DX53,参照データ!$D$128:$K$145,7,0))</f>
        <v>#N/A</v>
      </c>
      <c r="DZ52" s="692" t="str">
        <f>IFERROR(VLOOKUP($DY52,参照データ!$J$128:$N$145,5,0),"")</f>
        <v/>
      </c>
      <c r="EA52" s="526" t="str">
        <f t="shared" si="85"/>
        <v/>
      </c>
      <c r="EB52" s="527" t="str">
        <f t="shared" si="86"/>
        <v/>
      </c>
      <c r="EC52" s="528" t="str">
        <f t="shared" si="87"/>
        <v/>
      </c>
      <c r="ED52" s="982">
        <v>21</v>
      </c>
      <c r="EE52" s="533" t="s">
        <v>126</v>
      </c>
      <c r="EF52" s="533" t="str">
        <f t="shared" si="88"/>
        <v/>
      </c>
      <c r="EG52" s="534" t="str">
        <f>IF(SUM(EF52:EF53)&lt;24,"",IF(SUM(EF52:EF53)&gt;=36,3,2))</f>
        <v/>
      </c>
      <c r="EH52" s="877" t="e">
        <f>IF($EG52&gt;$EG53,VLOOKUP($EG52,参照データ!$D$128:$K$145,8,0),VLOOKUP($EG53,参照データ!$D$128:$K$145,8,0))</f>
        <v>#N/A</v>
      </c>
      <c r="EI52" s="527" t="str">
        <f>IFERROR(VLOOKUP($EH52,参照データ!$K$128:$N$145,4,0),"")</f>
        <v/>
      </c>
      <c r="EJ52" s="555" t="str">
        <f t="shared" si="13"/>
        <v/>
      </c>
      <c r="EK52" s="556" t="str">
        <f t="shared" si="44"/>
        <v/>
      </c>
      <c r="EL52" s="845">
        <v>5</v>
      </c>
      <c r="EM52" s="561" t="s">
        <v>812</v>
      </c>
      <c r="EN52" s="566" t="str">
        <f t="shared" si="45"/>
        <v/>
      </c>
      <c r="EO52" s="848" t="str">
        <f>IF(COUNTIF(EN52:EN61,"○")&gt;=1,"TT","")</f>
        <v/>
      </c>
      <c r="EP52" s="555" t="str">
        <f t="shared" si="115"/>
        <v/>
      </c>
      <c r="EQ52" s="556" t="str">
        <f t="shared" si="46"/>
        <v/>
      </c>
      <c r="ER52" s="845">
        <v>5</v>
      </c>
      <c r="ES52" s="561" t="s">
        <v>812</v>
      </c>
      <c r="ET52" s="566" t="str">
        <f t="shared" si="47"/>
        <v/>
      </c>
      <c r="EU52" s="848" t="str">
        <f>IF(COUNTIF(ET52:ET61,"○")&gt;=1,"FT","")</f>
        <v/>
      </c>
      <c r="EV52" s="38" t="str">
        <f t="shared" si="116"/>
        <v/>
      </c>
      <c r="EW52" s="552" t="str">
        <f t="shared" si="48"/>
        <v/>
      </c>
      <c r="EX52" s="833"/>
      <c r="EY52" s="559" t="s">
        <v>832</v>
      </c>
      <c r="EZ52" s="560" t="str">
        <f t="shared" si="49"/>
        <v/>
      </c>
      <c r="FA52" s="835"/>
      <c r="FB52" t="str">
        <f>IF($FC52="","",DATEDIF($BJ52,参照データ!$D$19,"Y"))</f>
        <v/>
      </c>
      <c r="FC52" s="298" t="str">
        <f>IFERROR(IF($BK52="男子",VLOOKUP($FJ52,参照データ!$D$92:$E$118,2,0),$FJ52),0)</f>
        <v/>
      </c>
      <c r="FD52" s="92" t="str">
        <f>IF($Y52="選手権",(VLOOKUP($FC52,参照データ!$D$92:$K$121,3,0)),"")</f>
        <v/>
      </c>
      <c r="FE52" s="93" t="str">
        <f t="shared" si="117"/>
        <v/>
      </c>
      <c r="FF52" s="92" t="str">
        <f>IF($AA52="選手権",(VLOOKUP($FC52,参照データ!$D$92:$K$121,4,0)),"")</f>
        <v/>
      </c>
      <c r="FG52" s="93" t="str">
        <f t="shared" si="118"/>
        <v/>
      </c>
      <c r="FH52" s="92" t="str">
        <f>IF($AC52="選手権",(VLOOKUP($FC52,参照データ!$D$92:$K$121,5,0)),"")</f>
        <v/>
      </c>
      <c r="FI52" s="93" t="str">
        <f t="shared" si="119"/>
        <v/>
      </c>
      <c r="FJ52" s="61" t="str">
        <f>IF(AND($BJ52&gt;=参照データ!$C$94,$BJ52&lt;=参照データ!$C$92),1,IF(AND($BJ52&gt;=参照データ!$C$97,$BJ52&lt;=参照データ!$C$95),2,IF(AND($BJ52&gt;=参照データ!$C$103,$BJ52&lt;=参照データ!$C$101),3,IF(AND($BJ52&gt;=参照データ!$C$109,$BJ52&lt;=参照データ!$C$107),4,IF(AND($BJ52&gt;=参照データ!$C$115,$BJ52&lt;=参照データ!$C$113),5,IF(AND($BJ52&gt;0,$BJ52&lt;=参照データ!$C$116),6,""))))))</f>
        <v/>
      </c>
      <c r="FK52" s="92" t="str">
        <f>IF($AE52="選手権",(VLOOKUP($FJ52,参照データ!$D$92:$K$121,6,0)),"")</f>
        <v/>
      </c>
      <c r="FL52" s="93" t="str">
        <f t="shared" si="19"/>
        <v/>
      </c>
      <c r="FM52" s="92" t="str">
        <f>IF($AG52="選手権",(VLOOKUP($FJ52,参照データ!$D$92:$K$121,7,0)),"")</f>
        <v/>
      </c>
      <c r="FN52" s="93" t="str">
        <f t="shared" si="50"/>
        <v/>
      </c>
      <c r="FO52" s="38" t="str">
        <f t="shared" si="51"/>
        <v/>
      </c>
      <c r="FP52" s="37" t="str">
        <f t="shared" si="52"/>
        <v/>
      </c>
      <c r="FQ52" s="93" t="str">
        <f t="shared" si="53"/>
        <v/>
      </c>
      <c r="FR52" s="979">
        <v>21</v>
      </c>
      <c r="FS52" s="101" t="s">
        <v>126</v>
      </c>
      <c r="FT52" s="102" t="str">
        <f t="shared" si="120"/>
        <v/>
      </c>
      <c r="FU52" s="980" t="e">
        <f>IF($FT52&gt;$FT53,VLOOKUP($FT52,参照データ!$D$92:$K$121,8,0),VLOOKUP($FT53,参照データ!$D$92:$K$121,8,0))</f>
        <v>#N/A</v>
      </c>
      <c r="FV52" s="356" t="str">
        <f>IFERROR(VLOOKUP($FU52,参照データ!$K$92:$O$121,5,0),"")</f>
        <v/>
      </c>
      <c r="FY52" s="40">
        <f>(COUNTIF($J52:$O52,"&lt;&gt;"))*参照データ!$E$3</f>
        <v>0</v>
      </c>
      <c r="FZ52" s="267" t="str">
        <f>IF($P52="○",参照データ!$E$4,"")</f>
        <v/>
      </c>
      <c r="GA52" s="19">
        <f>(SUM(COUNTIF($Q52:$U52,{"入門","初級"}))*参照データ!$E$9)+(SUM(COUNTIF($Q52:$U52,{"中級","上級"})*参照データ!$E$10))</f>
        <v>0</v>
      </c>
      <c r="GB52" s="19">
        <f>IFERROR(VLOOKUP($V52,参照データ!$D$9:$J$11,7,0),0)</f>
        <v>0</v>
      </c>
      <c r="GC52" s="19">
        <f>((COUNTIF($Y52:$AG52,"オープン"))*参照データ!$E$12)</f>
        <v>0</v>
      </c>
      <c r="GD52" s="19" t="str">
        <f>(IF($AI52="オープン",参照データ!$J$12,""))</f>
        <v/>
      </c>
      <c r="GE52" s="19">
        <f>(COUNTIF($AN52:$AU52,"○")*参照データ!$E$22)</f>
        <v>0</v>
      </c>
      <c r="GF52" s="19">
        <f>(COUNTIF($AV52:$BA52,"○")*参照データ!$I$22)</f>
        <v>0</v>
      </c>
      <c r="GI52" s="19">
        <f>((COUNTIF($Y52:$AG52,"選手権"))*参照データ!$E$13)</f>
        <v>0</v>
      </c>
      <c r="GJ52" s="19" t="str">
        <f>(IF($AI52="選手権",参照データ!$J$13,""))</f>
        <v/>
      </c>
      <c r="GK52" s="106">
        <f t="array" ref="GK52">SUM(IF(ISERROR(FY52:GJ52),0,(FY52:GJ52)))</f>
        <v>0</v>
      </c>
      <c r="GL52" s="19"/>
      <c r="GM52" s="19">
        <f t="shared" si="54"/>
        <v>0</v>
      </c>
      <c r="GN52" s="19">
        <f t="shared" si="55"/>
        <v>0</v>
      </c>
      <c r="GO52" s="19">
        <f t="shared" si="56"/>
        <v>0</v>
      </c>
      <c r="GP52" s="19">
        <f t="shared" si="121"/>
        <v>0</v>
      </c>
      <c r="GQ52" s="19">
        <f t="shared" si="57"/>
        <v>0</v>
      </c>
      <c r="GR52" s="19">
        <f t="shared" si="58"/>
        <v>0</v>
      </c>
      <c r="GS52" s="19">
        <f t="shared" si="59"/>
        <v>0</v>
      </c>
      <c r="GT52" s="19">
        <f t="shared" si="60"/>
        <v>0</v>
      </c>
      <c r="GU52" s="19">
        <f t="shared" si="61"/>
        <v>0</v>
      </c>
      <c r="GV52" t="str">
        <f t="shared" si="122"/>
        <v/>
      </c>
      <c r="GW52" t="str">
        <f t="shared" si="62"/>
        <v/>
      </c>
      <c r="GX52" t="str">
        <f t="shared" si="123"/>
        <v/>
      </c>
      <c r="GY52" t="str">
        <f t="shared" si="63"/>
        <v/>
      </c>
      <c r="GZ52" t="str">
        <f t="shared" si="124"/>
        <v/>
      </c>
    </row>
    <row r="53" spans="1:208" ht="18.75" customHeight="1" x14ac:dyDescent="0.15">
      <c r="A53">
        <v>42</v>
      </c>
      <c r="B53" s="15" t="str">
        <f>IF(D53="","",IF(D53="重複","",COUNTIF(B$12:$B52,"&gt;0")+1))</f>
        <v/>
      </c>
      <c r="C53" s="713"/>
      <c r="D53" s="185"/>
      <c r="E53" s="185"/>
      <c r="F53" s="36"/>
      <c r="G53" s="47"/>
      <c r="H53" s="402">
        <f t="shared" si="112"/>
        <v>0</v>
      </c>
      <c r="I53" s="201" t="str">
        <f>IF($BJ53=0,"",DATEDIF($BJ53,参照データ!$D$16,"Y"))</f>
        <v/>
      </c>
      <c r="J53" s="41"/>
      <c r="K53" s="41"/>
      <c r="L53" s="41"/>
      <c r="M53" s="41"/>
      <c r="N53" s="41"/>
      <c r="O53" s="49"/>
      <c r="P53" s="395"/>
      <c r="Q53" s="51"/>
      <c r="R53" s="289"/>
      <c r="S53" s="289"/>
      <c r="T53" s="289"/>
      <c r="U53" s="290"/>
      <c r="V53" s="293"/>
      <c r="W53" s="295"/>
      <c r="Y53" s="446"/>
      <c r="Z53" s="396" t="str">
        <f>IF($Y53="オープン",VLOOKUP($CO53,参照データ!$D$69:$M$86,9,0),IF($Y53="選手権",VLOOKUP($FC53,参照データ!$D$92:$O$121,10,0),""))</f>
        <v/>
      </c>
      <c r="AA53" s="446"/>
      <c r="AB53" s="666" t="str">
        <f>IF($AA53="オープン",VLOOKUP($CO53,参照データ!$D$69:$M$86,10,0),IF($AA53="選手権",VLOOKUP($FC53,参照データ!$D$92:$O$121,11,0),""))</f>
        <v/>
      </c>
      <c r="AC53" s="669"/>
      <c r="AD53" s="396" t="str">
        <f>IF($AC53="オープン",VLOOKUP($CO53,参照データ!$D$69:$M$86,10,0),IF($AC53="選手権",VLOOKUP($FC53,参照データ!$D$92:$O$121,11,0),""))</f>
        <v/>
      </c>
      <c r="AE53" s="446"/>
      <c r="AF53" s="396" t="str">
        <f>IF($AE53="オープン",VLOOKUP($CO53,参照データ!$D$69:$M$86,10,0),IF($AE53="選手権",VLOOKUP($FJ53,参照データ!$D$92:$O$121,12,0),""))</f>
        <v/>
      </c>
      <c r="AG53" s="446"/>
      <c r="AH53" s="396" t="str">
        <f>IF($AG53="オープン",VLOOKUP($CO53,参照データ!$D$69:$M$86,10,0),IF($AG53="選手権",VLOOKUP($FJ53,参照データ!$D$92:$O$121,12,0),""))</f>
        <v/>
      </c>
      <c r="AI53" s="446"/>
      <c r="AJ53" s="449"/>
      <c r="AK53" s="396" t="str">
        <f t="shared" si="113"/>
        <v/>
      </c>
      <c r="AL53" s="587"/>
      <c r="AM53" s="588" t="str">
        <f>IF($BJ53=0,"",DATEDIF($BJ53,参照データ!$D$17,"Y"))</f>
        <v/>
      </c>
      <c r="AN53" s="450"/>
      <c r="AO53" s="591" t="str">
        <f>IF(AN53="","",IF($BK53="男子",VLOOKUP($DI53,参照データ!$D$128:$M$145,10,FALSE),VLOOKUP($DH53,参照データ!$D$128:$M$145,10,FALSE)))</f>
        <v/>
      </c>
      <c r="AP53" s="450"/>
      <c r="AQ53" s="591" t="str">
        <f>IF(AP53="","",IF($BK53="男子",VLOOKUP($DI53,参照データ!$D$128:$M$145,10,FALSE),VLOOKUP($DH53,参照データ!$D$128:$M$145,10,FALSE)))</f>
        <v/>
      </c>
      <c r="AR53" s="450"/>
      <c r="AS53" s="591" t="str">
        <f>IF(AR53="","",IF($BK53="男子",VLOOKUP($DI53,参照データ!$D$128:$M$145,10,FALSE),VLOOKUP($DH53,参照データ!$D$128:$M$145,10,FALSE)))</f>
        <v/>
      </c>
      <c r="AT53" s="450"/>
      <c r="AU53" s="591" t="str">
        <f>IF(AT53="","",IF($BK53="男子",VLOOKUP($DI53,参照データ!$D$128:$M$145,10,FALSE),VLOOKUP($DH53,参照データ!$D$128:$M$145,10,FALSE)))</f>
        <v/>
      </c>
      <c r="AV53" s="448"/>
      <c r="AW53" s="448"/>
      <c r="AX53" s="585" t="str">
        <f t="shared" si="25"/>
        <v/>
      </c>
      <c r="AY53" s="448"/>
      <c r="AZ53" s="448"/>
      <c r="BA53" s="585" t="str">
        <f t="shared" si="83"/>
        <v/>
      </c>
      <c r="BB53" s="677"/>
      <c r="BC53" s="724"/>
      <c r="BD53" s="640"/>
      <c r="BE53" s="482"/>
      <c r="BF53" s="365"/>
      <c r="BG53" s="366"/>
      <c r="BJ53">
        <f t="shared" si="75"/>
        <v>0</v>
      </c>
      <c r="BK53" t="str">
        <f t="shared" si="65"/>
        <v/>
      </c>
      <c r="BL53" s="146"/>
      <c r="BO53" s="61" t="str">
        <f>IF($BJ53=0,"",IF(AND($I53&gt;=6,$I53&lt;=19),VLOOKUP($I53,参照データ!$B$28:$C$41,2,0),IF($I53&lt;6,6,19)))</f>
        <v/>
      </c>
      <c r="BP53" s="178" t="str">
        <f>IF($J53=$BI$12,VLOOKUP($BO53,参照データ!$C$28:$I$41,2,0),"")</f>
        <v/>
      </c>
      <c r="BQ53" s="169" t="str">
        <f>IF($K53=$BI$12,VLOOKUP($BO53,参照データ!$C$28:$I$41,3,0),"")</f>
        <v/>
      </c>
      <c r="BR53" s="169" t="str">
        <f>IF($L53=$BI$12,VLOOKUP($BO53,参照データ!$C$28:$I$41,4,0),"")</f>
        <v/>
      </c>
      <c r="BS53" s="169" t="str">
        <f>IF($M53=$BI$12,VLOOKUP($BO53,参照データ!$C$28:$I$41,5,0),"")</f>
        <v/>
      </c>
      <c r="BT53" s="169" t="str">
        <f>IF($N53=$BI$12,VLOOKUP($BO53,参照データ!$C$28:$I$41,6,0),"")</f>
        <v/>
      </c>
      <c r="BU53" s="179" t="str">
        <f>IF($O53=$BI$12,VLOOKUP($BO53,参照データ!$C$28:$I$41,7,0),"")</f>
        <v/>
      </c>
      <c r="BV53" s="178" t="str">
        <f>IF($J53=$BI$13,VLOOKUP($BO53,参照データ!$C$28:$I$41,2,0),"")</f>
        <v/>
      </c>
      <c r="BW53" s="169" t="str">
        <f>IF($K53=$BI$13,VLOOKUP($BO53,参照データ!$C$28:$I$41,3,0),"")</f>
        <v/>
      </c>
      <c r="BX53" s="169" t="str">
        <f>IF($L53=$BI$13,VLOOKUP($BO53,参照データ!$C$28:$I$41,4,0),"")</f>
        <v/>
      </c>
      <c r="BY53" s="169" t="str">
        <f>IF($M53=$BI$13,VLOOKUP($BO53,参照データ!$C$28:$I$41,5,0),"")</f>
        <v/>
      </c>
      <c r="BZ53" s="169" t="str">
        <f>IF($N53=$BI$13,VLOOKUP($BO53,参照データ!$C$28:$I$41,6,0),"")</f>
        <v/>
      </c>
      <c r="CA53" s="179" t="str">
        <f>IF($O53=$BI$13,VLOOKUP($BO53,参照データ!$C$28:$I$41,7,0),"")</f>
        <v/>
      </c>
      <c r="CB53" s="271" t="str">
        <f t="shared" si="26"/>
        <v/>
      </c>
      <c r="CC53" s="177" t="str">
        <f>IF($Q53="入門",VLOOKUP($BO53,参照データ!$C$47:$U$60,2,0),IF($Q53="初級",VLOOKUP($BO53,参照データ!$C$47:$U$60,3,0),IF($Q53="中級",VLOOKUP($BO53,参照データ!$C$47:$U$60,4,0),IF($Q53="上級",VLOOKUP($BO53,参照データ!$C$47:$U$60,5,0),""))))</f>
        <v/>
      </c>
      <c r="CD53" s="177" t="str">
        <f>IF($R53="初級",VLOOKUP($BO53,参照データ!$C$47:$U$60,6,0),IF($R53="中級",VLOOKUP($BO53,参照データ!$C$47:$U$60,7,0),IF($R53="上級",VLOOKUP($BO53,参照データ!$C$47:$U$60,8,0),"")))</f>
        <v/>
      </c>
      <c r="CE53" s="177" t="str">
        <f>IF($S53="初級",VLOOKUP($BO53,参照データ!$C$47:$U$60,9,0),IF($S53="上級",VLOOKUP($BO53,参照データ!$C$47:$U$60,10,0),""))</f>
        <v/>
      </c>
      <c r="CF53" s="177" t="str">
        <f>IF($T53="初級",VLOOKUP($BO53,参照データ!$C$47:$U$60,11,0),IF($T53="中級",VLOOKUP($BO53,参照データ!$C$47:$U$60,12,0),IF($T53="上級",VLOOKUP($BO53,参照データ!$C$47:$U$60,13,0),"")))</f>
        <v/>
      </c>
      <c r="CG53" s="177" t="str">
        <f>IF($U53="初級",VLOOKUP($BO53,参照データ!$C$47:$U$60,14,0),IF($U53="中級",VLOOKUP($BO53,参照データ!$C$47:$U$60,15,0),IF($U53="上級",VLOOKUP($BO53,参照データ!$C$47:$U$60,16,0),"")))</f>
        <v/>
      </c>
      <c r="CH53" s="55" t="str">
        <f t="shared" si="5"/>
        <v/>
      </c>
      <c r="CI53" s="55" t="str">
        <f>IF($V53="初級",VLOOKUP($BO53,参照データ!$C$47:$U$60,17,0),IF($V53="中級",VLOOKUP($BO53,参照データ!$C$47:$U$60,18,0),IF($V53="上級",VLOOKUP($BO53,参照データ!$C$47:$U$60,19,0),"")))</f>
        <v/>
      </c>
      <c r="CJ53" s="868"/>
      <c r="CK53" s="73" t="s">
        <v>277</v>
      </c>
      <c r="CL53" s="150" t="str">
        <f t="shared" si="6"/>
        <v/>
      </c>
      <c r="CM53" s="872"/>
      <c r="CO53" s="61">
        <f>IF(AND($BJ53&gt;=参照データ!$C$71,$BJ53&lt;=参照データ!$C$69),1,IF(AND($BJ53&gt;=参照データ!$C$74,$BJ53&lt;=参照データ!$C$72),2,IF(AND($BJ53&gt;=参照データ!$C$77,$BJ53&lt;=参照データ!$C$75),3,IF(AND($BJ53&gt;=参照データ!$C$80,$BJ53&lt;=参照データ!$C$78),4,IF(AND($BJ53&gt;=参照データ!$C$83,$BJ53&lt;=参照データ!$C$81),5,IF(AND($BJ53&gt;0,$BJ53&lt;=参照データ!$C$84),6,""))))))</f>
        <v>5</v>
      </c>
      <c r="CP53" s="160" t="str">
        <f>IF($Y53="オープン",(VLOOKUP($CO53,参照データ!$D$69:$J$86,2,0)),"")</f>
        <v/>
      </c>
      <c r="CQ53" s="79" t="str">
        <f t="shared" si="27"/>
        <v/>
      </c>
      <c r="CR53" s="78" t="str">
        <f>IF($AA53="オープン",(VLOOKUP($CO53,参照データ!$D$69:$J$86,3,0)),"")</f>
        <v/>
      </c>
      <c r="CS53" s="79" t="str">
        <f t="shared" si="28"/>
        <v/>
      </c>
      <c r="CT53" s="78" t="str">
        <f>IF($AC53="オープン",(VLOOKUP($CO53,参照データ!$D$69:$J$86,4,0)),"")</f>
        <v/>
      </c>
      <c r="CU53" s="79" t="str">
        <f t="shared" si="29"/>
        <v/>
      </c>
      <c r="CV53" s="78" t="str">
        <f>IF($AE53="オープン",(VLOOKUP($CO53,参照データ!$D$69:$J$86,5,0)),"")</f>
        <v/>
      </c>
      <c r="CW53" s="79" t="str">
        <f t="shared" si="7"/>
        <v/>
      </c>
      <c r="CX53" s="78" t="str">
        <f>IF($AG53="オープン",(VLOOKUP($CO53,参照データ!$D$69:$J$86,6,0)),"")</f>
        <v/>
      </c>
      <c r="CY53" s="79" t="str">
        <f t="shared" si="30"/>
        <v/>
      </c>
      <c r="CZ53" s="38" t="str">
        <f t="shared" si="31"/>
        <v/>
      </c>
      <c r="DA53" s="37" t="str">
        <f t="shared" si="32"/>
        <v/>
      </c>
      <c r="DB53" s="79" t="str">
        <f t="shared" si="33"/>
        <v/>
      </c>
      <c r="DC53" s="858"/>
      <c r="DD53" s="85" t="s">
        <v>127</v>
      </c>
      <c r="DE53" s="86" t="str">
        <f t="shared" si="34"/>
        <v/>
      </c>
      <c r="DF53" s="860"/>
      <c r="DG53" s="350" t="str">
        <f t="shared" ref="DG53" si="134">$DG52</f>
        <v/>
      </c>
      <c r="DH53" s="523">
        <f>IF(AND($BJ53&gt;=参照データ!$C$130,$BJ53&lt;=参照データ!$C$128),1,IF(AND($BJ53&gt;=参照データ!$C$133,$BJ53&lt;=参照データ!$C$131),2,IF(AND($BJ53&gt;=参照データ!$C$139,$BJ53&lt;=参照データ!$C$137),3,IF(AND($BJ53&gt;0,$BJ53&lt;=参照データ!$C$140),4,""))))</f>
        <v>1</v>
      </c>
      <c r="DI53" s="523">
        <f t="shared" si="35"/>
        <v>7</v>
      </c>
      <c r="DJ53" s="523" t="str">
        <f t="shared" si="36"/>
        <v/>
      </c>
      <c r="DK53" s="524" t="str">
        <f>IF($AN53="","",IF(AND($AN53="○",$BK53="男子"),VLOOKUP($DI53,参照データ!$D$128:$J$145,3,FALSE),VLOOKUP($DH53,参照データ!$D$128:$J$145,3,FALSE)))</f>
        <v/>
      </c>
      <c r="DL53" s="525" t="str">
        <f t="shared" si="37"/>
        <v/>
      </c>
      <c r="DM53" s="524" t="str">
        <f>IF($AP53="","",IF(AND($AP53="○",$BK53="男子"),VLOOKUP($DI53,参照データ!$D$128:$J$145,4,FALSE),VLOOKUP($DH53,参照データ!$D$128:$J$145,4,FALSE)))</f>
        <v/>
      </c>
      <c r="DN53" s="525" t="str">
        <f t="shared" si="38"/>
        <v/>
      </c>
      <c r="DO53" s="524" t="str">
        <f>IF($AR53="","",IF(AND($AR53="○",$BK53="男子"),VLOOKUP($DI53,参照データ!$D$128:$J$145,5,FALSE),VLOOKUP($DH53,参照データ!$D$128:$J$145,5,FALSE)))</f>
        <v/>
      </c>
      <c r="DP53" s="525" t="str">
        <f t="shared" si="39"/>
        <v/>
      </c>
      <c r="DQ53" s="524" t="str">
        <f>IF($AT53="","",IF(AND($AT53="○",$BK53="男子"),VLOOKUP($DI53,参照データ!$D$128:$J$145,6,FALSE),VLOOKUP($DH53,参照データ!$D$128:$J$145,6,FALSE)))</f>
        <v/>
      </c>
      <c r="DR53" s="525" t="str">
        <f t="shared" si="40"/>
        <v/>
      </c>
      <c r="DS53" s="526" t="str">
        <f t="shared" si="41"/>
        <v/>
      </c>
      <c r="DT53" s="527" t="str">
        <f t="shared" si="42"/>
        <v/>
      </c>
      <c r="DU53" s="528" t="str">
        <f t="shared" si="43"/>
        <v/>
      </c>
      <c r="DV53" s="983"/>
      <c r="DW53" s="531" t="s">
        <v>127</v>
      </c>
      <c r="DX53" s="532" t="str">
        <f t="shared" si="92"/>
        <v/>
      </c>
      <c r="DY53" s="994"/>
      <c r="DZ53" s="692" t="str">
        <f>$DZ52</f>
        <v/>
      </c>
      <c r="EA53" s="526" t="str">
        <f t="shared" si="85"/>
        <v/>
      </c>
      <c r="EB53" s="527" t="str">
        <f t="shared" si="86"/>
        <v/>
      </c>
      <c r="EC53" s="528" t="str">
        <f t="shared" si="87"/>
        <v/>
      </c>
      <c r="ED53" s="983"/>
      <c r="EE53" s="531" t="s">
        <v>127</v>
      </c>
      <c r="EF53" s="531" t="str">
        <f t="shared" si="88"/>
        <v/>
      </c>
      <c r="EG53" s="532" t="str">
        <f>IF(SUM(EF52:EF53)&lt;24,"",IF(SUM(EF52:EF53)&gt;=36,3,2))</f>
        <v/>
      </c>
      <c r="EH53" s="994"/>
      <c r="EI53" s="527" t="str">
        <f>$EI52</f>
        <v/>
      </c>
      <c r="EJ53" s="555" t="str">
        <f t="shared" si="13"/>
        <v/>
      </c>
      <c r="EK53" s="556" t="str">
        <f t="shared" si="44"/>
        <v/>
      </c>
      <c r="EL53" s="846"/>
      <c r="EM53" s="561" t="s">
        <v>813</v>
      </c>
      <c r="EN53" s="562" t="str">
        <f t="shared" si="45"/>
        <v/>
      </c>
      <c r="EO53" s="849"/>
      <c r="EP53" s="555" t="str">
        <f t="shared" si="115"/>
        <v/>
      </c>
      <c r="EQ53" s="556" t="str">
        <f t="shared" si="46"/>
        <v/>
      </c>
      <c r="ER53" s="846"/>
      <c r="ES53" s="561" t="s">
        <v>813</v>
      </c>
      <c r="ET53" s="562" t="str">
        <f t="shared" si="47"/>
        <v/>
      </c>
      <c r="EU53" s="849"/>
      <c r="EV53" s="38" t="str">
        <f t="shared" si="116"/>
        <v/>
      </c>
      <c r="EW53" s="552" t="str">
        <f t="shared" si="48"/>
        <v/>
      </c>
      <c r="EX53" s="833"/>
      <c r="EY53" s="559" t="s">
        <v>833</v>
      </c>
      <c r="EZ53" s="560" t="str">
        <f t="shared" si="49"/>
        <v/>
      </c>
      <c r="FA53" s="835"/>
      <c r="FB53" t="str">
        <f>IF($FC53="","",DATEDIF($BJ53,参照データ!$D$19,"Y"))</f>
        <v/>
      </c>
      <c r="FC53" s="298" t="str">
        <f>IFERROR(IF($BK53="男子",VLOOKUP($FJ53,参照データ!$D$92:$E$118,2,0),$FJ53),0)</f>
        <v/>
      </c>
      <c r="FD53" s="92" t="str">
        <f>IF($Y53="選手権",(VLOOKUP($FC53,参照データ!$D$92:$K$121,3,0)),"")</f>
        <v/>
      </c>
      <c r="FE53" s="93" t="str">
        <f t="shared" si="117"/>
        <v/>
      </c>
      <c r="FF53" s="92" t="str">
        <f>IF($AA53="選手権",(VLOOKUP($FC53,参照データ!$D$92:$K$121,4,0)),"")</f>
        <v/>
      </c>
      <c r="FG53" s="93" t="str">
        <f t="shared" si="118"/>
        <v/>
      </c>
      <c r="FH53" s="92" t="str">
        <f>IF($AC53="選手権",(VLOOKUP($FC53,参照データ!$D$92:$K$121,5,0)),"")</f>
        <v/>
      </c>
      <c r="FI53" s="93" t="str">
        <f t="shared" si="119"/>
        <v/>
      </c>
      <c r="FJ53" s="61" t="str">
        <f>IF(AND($BJ53&gt;=参照データ!$C$94,$BJ53&lt;=参照データ!$C$92),1,IF(AND($BJ53&gt;=参照データ!$C$97,$BJ53&lt;=参照データ!$C$95),2,IF(AND($BJ53&gt;=参照データ!$C$103,$BJ53&lt;=参照データ!$C$101),3,IF(AND($BJ53&gt;=参照データ!$C$109,$BJ53&lt;=参照データ!$C$107),4,IF(AND($BJ53&gt;=参照データ!$C$115,$BJ53&lt;=参照データ!$C$113),5,IF(AND($BJ53&gt;0,$BJ53&lt;=参照データ!$C$116),6,""))))))</f>
        <v/>
      </c>
      <c r="FK53" s="92" t="str">
        <f>IF($AE53="選手権",(VLOOKUP($FJ53,参照データ!$D$92:$K$121,6,0)),"")</f>
        <v/>
      </c>
      <c r="FL53" s="93" t="str">
        <f t="shared" si="19"/>
        <v/>
      </c>
      <c r="FM53" s="92" t="str">
        <f>IF($AG53="選手権",(VLOOKUP($FJ53,参照データ!$D$92:$K$121,7,0)),"")</f>
        <v/>
      </c>
      <c r="FN53" s="93" t="str">
        <f t="shared" si="50"/>
        <v/>
      </c>
      <c r="FO53" s="38" t="str">
        <f t="shared" si="51"/>
        <v/>
      </c>
      <c r="FP53" s="37" t="str">
        <f t="shared" si="52"/>
        <v/>
      </c>
      <c r="FQ53" s="93" t="str">
        <f t="shared" si="53"/>
        <v/>
      </c>
      <c r="FR53" s="976"/>
      <c r="FS53" s="99" t="s">
        <v>127</v>
      </c>
      <c r="FT53" s="100" t="str">
        <f t="shared" si="120"/>
        <v/>
      </c>
      <c r="FU53" s="978"/>
      <c r="FV53" s="356" t="str">
        <f t="shared" ref="FV53" si="135">$FV52</f>
        <v/>
      </c>
      <c r="FY53" s="40">
        <f>(COUNTIF($J53:$O53,"&lt;&gt;"))*参照データ!$E$3</f>
        <v>0</v>
      </c>
      <c r="FZ53" s="267" t="str">
        <f>IF($P53="○",参照データ!$E$4,"")</f>
        <v/>
      </c>
      <c r="GA53" s="19">
        <f>(SUM(COUNTIF($Q53:$U53,{"入門","初級"}))*参照データ!$E$9)+(SUM(COUNTIF($Q53:$U53,{"中級","上級"})*参照データ!$E$10))</f>
        <v>0</v>
      </c>
      <c r="GB53" s="19">
        <f>IFERROR(VLOOKUP($V53,参照データ!$D$9:$J$11,7,0),0)</f>
        <v>0</v>
      </c>
      <c r="GC53" s="19">
        <f>((COUNTIF($Y53:$AG53,"オープン"))*参照データ!$E$12)</f>
        <v>0</v>
      </c>
      <c r="GD53" s="19" t="str">
        <f>(IF($AI53="オープン",参照データ!$J$12,""))</f>
        <v/>
      </c>
      <c r="GE53" s="19">
        <f>(COUNTIF($AN53:$AU53,"○")*参照データ!$E$22)</f>
        <v>0</v>
      </c>
      <c r="GF53" s="19">
        <f>(COUNTIF($AV53:$BA53,"○")*参照データ!$I$22)</f>
        <v>0</v>
      </c>
      <c r="GI53" s="19">
        <f>((COUNTIF($Y53:$AG53,"選手権"))*参照データ!$E$13)</f>
        <v>0</v>
      </c>
      <c r="GJ53" s="19" t="str">
        <f>(IF($AI53="選手権",参照データ!$J$13,""))</f>
        <v/>
      </c>
      <c r="GK53" s="106">
        <f t="array" ref="GK53">SUM(IF(ISERROR(FY53:GJ53),0,(FY53:GJ53)))</f>
        <v>0</v>
      </c>
      <c r="GL53" s="19"/>
      <c r="GM53" s="19">
        <f t="shared" si="54"/>
        <v>0</v>
      </c>
      <c r="GN53" s="19">
        <f t="shared" si="55"/>
        <v>0</v>
      </c>
      <c r="GO53" s="19">
        <f t="shared" si="56"/>
        <v>0</v>
      </c>
      <c r="GP53" s="19">
        <f t="shared" si="121"/>
        <v>0</v>
      </c>
      <c r="GQ53" s="19">
        <f t="shared" si="57"/>
        <v>0</v>
      </c>
      <c r="GR53" s="19">
        <f t="shared" si="58"/>
        <v>0</v>
      </c>
      <c r="GS53" s="19">
        <f t="shared" si="59"/>
        <v>0</v>
      </c>
      <c r="GT53" s="19">
        <f t="shared" si="60"/>
        <v>0</v>
      </c>
      <c r="GU53" s="19">
        <f t="shared" si="61"/>
        <v>0</v>
      </c>
      <c r="GV53" t="str">
        <f t="shared" si="122"/>
        <v/>
      </c>
      <c r="GW53" t="str">
        <f t="shared" si="62"/>
        <v/>
      </c>
      <c r="GX53" t="str">
        <f t="shared" si="123"/>
        <v/>
      </c>
      <c r="GY53" t="str">
        <f t="shared" si="63"/>
        <v/>
      </c>
      <c r="GZ53" t="str">
        <f t="shared" si="124"/>
        <v/>
      </c>
    </row>
    <row r="54" spans="1:208" ht="18.75" customHeight="1" x14ac:dyDescent="0.15">
      <c r="A54">
        <v>43</v>
      </c>
      <c r="B54" s="15" t="str">
        <f>IF(D54="","",IF(D54="重複","",COUNTIF(B$12:$B53,"&gt;0")+1))</f>
        <v/>
      </c>
      <c r="C54" s="713"/>
      <c r="D54" s="185"/>
      <c r="E54" s="185"/>
      <c r="F54" s="36"/>
      <c r="G54" s="47"/>
      <c r="H54" s="402">
        <f t="shared" si="112"/>
        <v>0</v>
      </c>
      <c r="I54" s="201" t="str">
        <f>IF($BJ54=0,"",DATEDIF($BJ54,参照データ!$D$16,"Y"))</f>
        <v/>
      </c>
      <c r="J54" s="41"/>
      <c r="K54" s="41"/>
      <c r="L54" s="41"/>
      <c r="M54" s="41"/>
      <c r="N54" s="41"/>
      <c r="O54" s="49"/>
      <c r="P54" s="395"/>
      <c r="Q54" s="51"/>
      <c r="R54" s="289"/>
      <c r="S54" s="289"/>
      <c r="T54" s="289"/>
      <c r="U54" s="290"/>
      <c r="V54" s="293"/>
      <c r="W54" s="295"/>
      <c r="Y54" s="446"/>
      <c r="Z54" s="396" t="str">
        <f>IF($Y54="オープン",VLOOKUP($CO54,参照データ!$D$69:$M$86,9,0),IF($Y54="選手権",VLOOKUP($FC54,参照データ!$D$92:$O$121,10,0),""))</f>
        <v/>
      </c>
      <c r="AA54" s="446"/>
      <c r="AB54" s="666" t="str">
        <f>IF($AA54="オープン",VLOOKUP($CO54,参照データ!$D$69:$M$86,10,0),IF($AA54="選手権",VLOOKUP($FC54,参照データ!$D$92:$O$121,11,0),""))</f>
        <v/>
      </c>
      <c r="AC54" s="669"/>
      <c r="AD54" s="396" t="str">
        <f>IF($AC54="オープン",VLOOKUP($CO54,参照データ!$D$69:$M$86,10,0),IF($AC54="選手権",VLOOKUP($FC54,参照データ!$D$92:$O$121,11,0),""))</f>
        <v/>
      </c>
      <c r="AE54" s="446"/>
      <c r="AF54" s="396" t="str">
        <f>IF($AE54="オープン",VLOOKUP($CO54,参照データ!$D$69:$M$86,10,0),IF($AE54="選手権",VLOOKUP($FJ54,参照データ!$D$92:$O$121,12,0),""))</f>
        <v/>
      </c>
      <c r="AG54" s="446"/>
      <c r="AH54" s="396" t="str">
        <f>IF($AG54="オープン",VLOOKUP($CO54,参照データ!$D$69:$M$86,10,0),IF($AG54="選手権",VLOOKUP($FJ54,参照データ!$D$92:$O$121,12,0),""))</f>
        <v/>
      </c>
      <c r="AI54" s="446"/>
      <c r="AJ54" s="449"/>
      <c r="AK54" s="396" t="str">
        <f t="shared" si="113"/>
        <v/>
      </c>
      <c r="AL54" s="587"/>
      <c r="AM54" s="588" t="str">
        <f>IF($BJ54=0,"",DATEDIF($BJ54,参照データ!$D$17,"Y"))</f>
        <v/>
      </c>
      <c r="AN54" s="450"/>
      <c r="AO54" s="591" t="str">
        <f>IF(AN54="","",IF($BK54="男子",VLOOKUP($DI54,参照データ!$D$128:$M$145,10,FALSE),VLOOKUP($DH54,参照データ!$D$128:$M$145,10,FALSE)))</f>
        <v/>
      </c>
      <c r="AP54" s="450"/>
      <c r="AQ54" s="591" t="str">
        <f>IF(AP54="","",IF($BK54="男子",VLOOKUP($DI54,参照データ!$D$128:$M$145,10,FALSE),VLOOKUP($DH54,参照データ!$D$128:$M$145,10,FALSE)))</f>
        <v/>
      </c>
      <c r="AR54" s="450"/>
      <c r="AS54" s="591" t="str">
        <f>IF(AR54="","",IF($BK54="男子",VLOOKUP($DI54,参照データ!$D$128:$M$145,10,FALSE),VLOOKUP($DH54,参照データ!$D$128:$M$145,10,FALSE)))</f>
        <v/>
      </c>
      <c r="AT54" s="450"/>
      <c r="AU54" s="591" t="str">
        <f>IF(AT54="","",IF($BK54="男子",VLOOKUP($DI54,参照データ!$D$128:$M$145,10,FALSE),VLOOKUP($DH54,参照データ!$D$128:$M$145,10,FALSE)))</f>
        <v/>
      </c>
      <c r="AV54" s="448"/>
      <c r="AW54" s="448"/>
      <c r="AX54" s="585" t="str">
        <f t="shared" si="25"/>
        <v/>
      </c>
      <c r="AY54" s="448"/>
      <c r="AZ54" s="448"/>
      <c r="BA54" s="585" t="str">
        <f t="shared" si="83"/>
        <v/>
      </c>
      <c r="BB54" s="677"/>
      <c r="BC54" s="724"/>
      <c r="BD54" s="640"/>
      <c r="BE54" s="482"/>
      <c r="BF54" s="365"/>
      <c r="BG54" s="366"/>
      <c r="BJ54">
        <f t="shared" si="75"/>
        <v>0</v>
      </c>
      <c r="BK54" t="str">
        <f t="shared" si="65"/>
        <v/>
      </c>
      <c r="BL54" s="146"/>
      <c r="BO54" s="61" t="str">
        <f>IF($BJ54=0,"",IF(AND($I54&gt;=6,$I54&lt;=19),VLOOKUP($I54,参照データ!$B$28:$C$41,2,0),IF($I54&lt;6,6,19)))</f>
        <v/>
      </c>
      <c r="BP54" s="178" t="str">
        <f>IF($J54=$BI$12,VLOOKUP($BO54,参照データ!$C$28:$I$41,2,0),"")</f>
        <v/>
      </c>
      <c r="BQ54" s="169" t="str">
        <f>IF($K54=$BI$12,VLOOKUP($BO54,参照データ!$C$28:$I$41,3,0),"")</f>
        <v/>
      </c>
      <c r="BR54" s="169" t="str">
        <f>IF($L54=$BI$12,VLOOKUP($BO54,参照データ!$C$28:$I$41,4,0),"")</f>
        <v/>
      </c>
      <c r="BS54" s="169" t="str">
        <f>IF($M54=$BI$12,VLOOKUP($BO54,参照データ!$C$28:$I$41,5,0),"")</f>
        <v/>
      </c>
      <c r="BT54" s="169" t="str">
        <f>IF($N54=$BI$12,VLOOKUP($BO54,参照データ!$C$28:$I$41,6,0),"")</f>
        <v/>
      </c>
      <c r="BU54" s="179" t="str">
        <f>IF($O54=$BI$12,VLOOKUP($BO54,参照データ!$C$28:$I$41,7,0),"")</f>
        <v/>
      </c>
      <c r="BV54" s="178" t="str">
        <f>IF($J54=$BI$13,VLOOKUP($BO54,参照データ!$C$28:$I$41,2,0),"")</f>
        <v/>
      </c>
      <c r="BW54" s="169" t="str">
        <f>IF($K54=$BI$13,VLOOKUP($BO54,参照データ!$C$28:$I$41,3,0),"")</f>
        <v/>
      </c>
      <c r="BX54" s="169" t="str">
        <f>IF($L54=$BI$13,VLOOKUP($BO54,参照データ!$C$28:$I$41,4,0),"")</f>
        <v/>
      </c>
      <c r="BY54" s="169" t="str">
        <f>IF($M54=$BI$13,VLOOKUP($BO54,参照データ!$C$28:$I$41,5,0),"")</f>
        <v/>
      </c>
      <c r="BZ54" s="169" t="str">
        <f>IF($N54=$BI$13,VLOOKUP($BO54,参照データ!$C$28:$I$41,6,0),"")</f>
        <v/>
      </c>
      <c r="CA54" s="179" t="str">
        <f>IF($O54=$BI$13,VLOOKUP($BO54,参照データ!$C$28:$I$41,7,0),"")</f>
        <v/>
      </c>
      <c r="CB54" s="271" t="str">
        <f t="shared" si="26"/>
        <v/>
      </c>
      <c r="CC54" s="177" t="str">
        <f>IF($Q54="入門",VLOOKUP($BO54,参照データ!$C$47:$U$60,2,0),IF($Q54="初級",VLOOKUP($BO54,参照データ!$C$47:$U$60,3,0),IF($Q54="中級",VLOOKUP($BO54,参照データ!$C$47:$U$60,4,0),IF($Q54="上級",VLOOKUP($BO54,参照データ!$C$47:$U$60,5,0),""))))</f>
        <v/>
      </c>
      <c r="CD54" s="177" t="str">
        <f>IF($R54="初級",VLOOKUP($BO54,参照データ!$C$47:$U$60,6,0),IF($R54="中級",VLOOKUP($BO54,参照データ!$C$47:$U$60,7,0),IF($R54="上級",VLOOKUP($BO54,参照データ!$C$47:$U$60,8,0),"")))</f>
        <v/>
      </c>
      <c r="CE54" s="177" t="str">
        <f>IF($S54="初級",VLOOKUP($BO54,参照データ!$C$47:$U$60,9,0),IF($S54="上級",VLOOKUP($BO54,参照データ!$C$47:$U$60,10,0),""))</f>
        <v/>
      </c>
      <c r="CF54" s="177" t="str">
        <f>IF($T54="初級",VLOOKUP($BO54,参照データ!$C$47:$U$60,11,0),IF($T54="中級",VLOOKUP($BO54,参照データ!$C$47:$U$60,12,0),IF($T54="上級",VLOOKUP($BO54,参照データ!$C$47:$U$60,13,0),"")))</f>
        <v/>
      </c>
      <c r="CG54" s="177" t="str">
        <f>IF($U54="初級",VLOOKUP($BO54,参照データ!$C$47:$U$60,14,0),IF($U54="中級",VLOOKUP($BO54,参照データ!$C$47:$U$60,15,0),IF($U54="上級",VLOOKUP($BO54,参照データ!$C$47:$U$60,16,0),"")))</f>
        <v/>
      </c>
      <c r="CH54" s="55" t="str">
        <f t="shared" si="5"/>
        <v/>
      </c>
      <c r="CI54" s="55" t="str">
        <f>IF($V54="初級",VLOOKUP($BO54,参照データ!$C$47:$U$60,17,0),IF($V54="中級",VLOOKUP($BO54,参照データ!$C$47:$U$60,18,0),IF($V54="上級",VLOOKUP($BO54,参照データ!$C$47:$U$60,19,0),"")))</f>
        <v/>
      </c>
      <c r="CJ54" s="867">
        <v>22</v>
      </c>
      <c r="CK54" s="74" t="s">
        <v>278</v>
      </c>
      <c r="CL54" s="151" t="str">
        <f t="shared" si="6"/>
        <v/>
      </c>
      <c r="CM54" s="871" t="str">
        <f t="shared" ref="CM54" si="136">IF(OR($CL54="",$CL55=""),"",IF($CL54&gt;$CL55,$CL54,$CL55))</f>
        <v/>
      </c>
      <c r="CO54" s="61">
        <f>IF(AND($BJ54&gt;=参照データ!$C$71,$BJ54&lt;=参照データ!$C$69),1,IF(AND($BJ54&gt;=参照データ!$C$74,$BJ54&lt;=参照データ!$C$72),2,IF(AND($BJ54&gt;=参照データ!$C$77,$BJ54&lt;=参照データ!$C$75),3,IF(AND($BJ54&gt;=参照データ!$C$80,$BJ54&lt;=参照データ!$C$78),4,IF(AND($BJ54&gt;=参照データ!$C$83,$BJ54&lt;=参照データ!$C$81),5,IF(AND($BJ54&gt;0,$BJ54&lt;=参照データ!$C$84),6,""))))))</f>
        <v>5</v>
      </c>
      <c r="CP54" s="160" t="str">
        <f>IF($Y54="オープン",(VLOOKUP($CO54,参照データ!$D$69:$J$86,2,0)),"")</f>
        <v/>
      </c>
      <c r="CQ54" s="79" t="str">
        <f t="shared" si="27"/>
        <v/>
      </c>
      <c r="CR54" s="78" t="str">
        <f>IF($AA54="オープン",(VLOOKUP($CO54,参照データ!$D$69:$J$86,3,0)),"")</f>
        <v/>
      </c>
      <c r="CS54" s="79" t="str">
        <f t="shared" si="28"/>
        <v/>
      </c>
      <c r="CT54" s="78" t="str">
        <f>IF($AC54="オープン",(VLOOKUP($CO54,参照データ!$D$69:$J$86,4,0)),"")</f>
        <v/>
      </c>
      <c r="CU54" s="79" t="str">
        <f t="shared" si="29"/>
        <v/>
      </c>
      <c r="CV54" s="78" t="str">
        <f>IF($AE54="オープン",(VLOOKUP($CO54,参照データ!$D$69:$J$86,5,0)),"")</f>
        <v/>
      </c>
      <c r="CW54" s="79" t="str">
        <f t="shared" si="7"/>
        <v/>
      </c>
      <c r="CX54" s="78" t="str">
        <f>IF($AG54="オープン",(VLOOKUP($CO54,参照データ!$D$69:$J$86,6,0)),"")</f>
        <v/>
      </c>
      <c r="CY54" s="79" t="str">
        <f t="shared" si="30"/>
        <v/>
      </c>
      <c r="CZ54" s="38" t="str">
        <f t="shared" si="31"/>
        <v/>
      </c>
      <c r="DA54" s="37" t="str">
        <f t="shared" si="32"/>
        <v/>
      </c>
      <c r="DB54" s="79" t="str">
        <f t="shared" si="33"/>
        <v/>
      </c>
      <c r="DC54" s="857">
        <v>22</v>
      </c>
      <c r="DD54" s="87" t="s">
        <v>128</v>
      </c>
      <c r="DE54" s="88" t="str">
        <f t="shared" si="34"/>
        <v/>
      </c>
      <c r="DF54" s="859" t="e">
        <f>IF($DE54&gt;$DE55,VLOOKUP($DE54,参照データ!$D$69:$J$86,7,0),VLOOKUP($DE55,参照データ!$D$69:$J$86,7,0))</f>
        <v>#N/A</v>
      </c>
      <c r="DG54" s="350" t="str">
        <f>IFERROR(VLOOKUP($DF54,参照データ!$J$69:$M$86,4,0),"")</f>
        <v/>
      </c>
      <c r="DH54" s="523">
        <f>IF(AND($BJ54&gt;=参照データ!$C$130,$BJ54&lt;=参照データ!$C$128),1,IF(AND($BJ54&gt;=参照データ!$C$133,$BJ54&lt;=参照データ!$C$131),2,IF(AND($BJ54&gt;=参照データ!$C$139,$BJ54&lt;=参照データ!$C$137),3,IF(AND($BJ54&gt;0,$BJ54&lt;=参照データ!$C$140),4,""))))</f>
        <v>1</v>
      </c>
      <c r="DI54" s="523">
        <f t="shared" si="35"/>
        <v>7</v>
      </c>
      <c r="DJ54" s="523" t="str">
        <f t="shared" si="36"/>
        <v/>
      </c>
      <c r="DK54" s="524" t="str">
        <f>IF($AN54="","",IF(AND($AN54="○",$BK54="男子"),VLOOKUP($DI54,参照データ!$D$128:$J$145,3,FALSE),VLOOKUP($DH54,参照データ!$D$128:$J$145,3,FALSE)))</f>
        <v/>
      </c>
      <c r="DL54" s="525" t="str">
        <f t="shared" si="37"/>
        <v/>
      </c>
      <c r="DM54" s="524" t="str">
        <f>IF($AP54="","",IF(AND($AP54="○",$BK54="男子"),VLOOKUP($DI54,参照データ!$D$128:$J$145,4,FALSE),VLOOKUP($DH54,参照データ!$D$128:$J$145,4,FALSE)))</f>
        <v/>
      </c>
      <c r="DN54" s="525" t="str">
        <f t="shared" si="38"/>
        <v/>
      </c>
      <c r="DO54" s="524" t="str">
        <f>IF($AR54="","",IF(AND($AR54="○",$BK54="男子"),VLOOKUP($DI54,参照データ!$D$128:$J$145,5,FALSE),VLOOKUP($DH54,参照データ!$D$128:$J$145,5,FALSE)))</f>
        <v/>
      </c>
      <c r="DP54" s="525" t="str">
        <f t="shared" si="39"/>
        <v/>
      </c>
      <c r="DQ54" s="524" t="str">
        <f>IF($AT54="","",IF(AND($AT54="○",$BK54="男子"),VLOOKUP($DI54,参照データ!$D$128:$J$145,6,FALSE),VLOOKUP($DH54,参照データ!$D$128:$J$145,6,FALSE)))</f>
        <v/>
      </c>
      <c r="DR54" s="525" t="str">
        <f t="shared" si="40"/>
        <v/>
      </c>
      <c r="DS54" s="526" t="str">
        <f t="shared" si="41"/>
        <v/>
      </c>
      <c r="DT54" s="527" t="str">
        <f t="shared" si="42"/>
        <v/>
      </c>
      <c r="DU54" s="528" t="str">
        <f t="shared" si="43"/>
        <v/>
      </c>
      <c r="DV54" s="982">
        <v>22</v>
      </c>
      <c r="DW54" s="533" t="s">
        <v>128</v>
      </c>
      <c r="DX54" s="534" t="str">
        <f t="shared" si="92"/>
        <v/>
      </c>
      <c r="DY54" s="877" t="e">
        <f>IF($DX54&gt;$DX55,VLOOKUP($DX54,参照データ!$D$128:$K$145,7,0),VLOOKUP($DX55,参照データ!$D$128:$K$145,7,0))</f>
        <v>#N/A</v>
      </c>
      <c r="DZ54" s="692" t="str">
        <f>IFERROR(VLOOKUP($DY54,参照データ!$J$128:$N$145,5,0),"")</f>
        <v/>
      </c>
      <c r="EA54" s="526" t="str">
        <f t="shared" si="85"/>
        <v/>
      </c>
      <c r="EB54" s="527" t="str">
        <f t="shared" si="86"/>
        <v/>
      </c>
      <c r="EC54" s="528" t="str">
        <f t="shared" si="87"/>
        <v/>
      </c>
      <c r="ED54" s="982">
        <v>22</v>
      </c>
      <c r="EE54" s="533" t="s">
        <v>128</v>
      </c>
      <c r="EF54" s="533" t="str">
        <f t="shared" si="88"/>
        <v/>
      </c>
      <c r="EG54" s="534" t="str">
        <f>IF(SUM(EF54:EF55)&lt;24,"",IF(SUM(EF54:EF55)&gt;=36,3,2))</f>
        <v/>
      </c>
      <c r="EH54" s="877" t="e">
        <f>IF($EG54&gt;$EG55,VLOOKUP($EG54,参照データ!$D$128:$K$145,8,0),VLOOKUP($EG55,参照データ!$D$128:$K$145,8,0))</f>
        <v>#N/A</v>
      </c>
      <c r="EI54" s="527" t="str">
        <f>IFERROR(VLOOKUP($EH54,参照データ!$K$128:$N$145,4,0),"")</f>
        <v/>
      </c>
      <c r="EJ54" s="555" t="str">
        <f t="shared" si="13"/>
        <v/>
      </c>
      <c r="EK54" s="556" t="str">
        <f t="shared" si="44"/>
        <v/>
      </c>
      <c r="EL54" s="846"/>
      <c r="EM54" s="561" t="s">
        <v>814</v>
      </c>
      <c r="EN54" s="562" t="str">
        <f t="shared" si="45"/>
        <v/>
      </c>
      <c r="EO54" s="849"/>
      <c r="EP54" s="555" t="str">
        <f t="shared" si="115"/>
        <v/>
      </c>
      <c r="EQ54" s="556" t="str">
        <f t="shared" si="46"/>
        <v/>
      </c>
      <c r="ER54" s="846"/>
      <c r="ES54" s="561" t="s">
        <v>814</v>
      </c>
      <c r="ET54" s="562" t="str">
        <f t="shared" si="47"/>
        <v/>
      </c>
      <c r="EU54" s="849"/>
      <c r="EV54" s="38" t="str">
        <f t="shared" si="116"/>
        <v/>
      </c>
      <c r="EW54" s="552" t="str">
        <f t="shared" si="48"/>
        <v/>
      </c>
      <c r="EX54" s="833"/>
      <c r="EY54" s="559" t="s">
        <v>834</v>
      </c>
      <c r="EZ54" s="560" t="str">
        <f t="shared" si="49"/>
        <v/>
      </c>
      <c r="FA54" s="835"/>
      <c r="FB54" t="str">
        <f>IF($FC54="","",DATEDIF($BJ54,参照データ!$D$19,"Y"))</f>
        <v/>
      </c>
      <c r="FC54" s="298" t="str">
        <f>IFERROR(IF($BK54="男子",VLOOKUP($FJ54,参照データ!$D$92:$E$118,2,0),$FJ54),0)</f>
        <v/>
      </c>
      <c r="FD54" s="92" t="str">
        <f>IF($Y54="選手権",(VLOOKUP($FC54,参照データ!$D$92:$K$121,3,0)),"")</f>
        <v/>
      </c>
      <c r="FE54" s="93" t="str">
        <f t="shared" si="117"/>
        <v/>
      </c>
      <c r="FF54" s="92" t="str">
        <f>IF($AA54="選手権",(VLOOKUP($FC54,参照データ!$D$92:$K$121,4,0)),"")</f>
        <v/>
      </c>
      <c r="FG54" s="93" t="str">
        <f t="shared" si="118"/>
        <v/>
      </c>
      <c r="FH54" s="92" t="str">
        <f>IF($AC54="選手権",(VLOOKUP($FC54,参照データ!$D$92:$K$121,5,0)),"")</f>
        <v/>
      </c>
      <c r="FI54" s="93" t="str">
        <f t="shared" si="119"/>
        <v/>
      </c>
      <c r="FJ54" s="61" t="str">
        <f>IF(AND($BJ54&gt;=参照データ!$C$94,$BJ54&lt;=参照データ!$C$92),1,IF(AND($BJ54&gt;=参照データ!$C$97,$BJ54&lt;=参照データ!$C$95),2,IF(AND($BJ54&gt;=参照データ!$C$103,$BJ54&lt;=参照データ!$C$101),3,IF(AND($BJ54&gt;=参照データ!$C$109,$BJ54&lt;=参照データ!$C$107),4,IF(AND($BJ54&gt;=参照データ!$C$115,$BJ54&lt;=参照データ!$C$113),5,IF(AND($BJ54&gt;0,$BJ54&lt;=参照データ!$C$116),6,""))))))</f>
        <v/>
      </c>
      <c r="FK54" s="92" t="str">
        <f>IF($AE54="選手権",(VLOOKUP($FJ54,参照データ!$D$92:$K$121,6,0)),"")</f>
        <v/>
      </c>
      <c r="FL54" s="93" t="str">
        <f t="shared" si="19"/>
        <v/>
      </c>
      <c r="FM54" s="92" t="str">
        <f>IF($AG54="選手権",(VLOOKUP($FJ54,参照データ!$D$92:$K$121,7,0)),"")</f>
        <v/>
      </c>
      <c r="FN54" s="93" t="str">
        <f t="shared" si="50"/>
        <v/>
      </c>
      <c r="FO54" s="38" t="str">
        <f t="shared" si="51"/>
        <v/>
      </c>
      <c r="FP54" s="37" t="str">
        <f t="shared" si="52"/>
        <v/>
      </c>
      <c r="FQ54" s="93" t="str">
        <f t="shared" si="53"/>
        <v/>
      </c>
      <c r="FR54" s="979">
        <v>22</v>
      </c>
      <c r="FS54" s="101" t="s">
        <v>128</v>
      </c>
      <c r="FT54" s="102" t="str">
        <f t="shared" si="120"/>
        <v/>
      </c>
      <c r="FU54" s="980" t="e">
        <f>IF($FT54&gt;$FT55,VLOOKUP($FT54,参照データ!$D$92:$K$121,8,0),VLOOKUP($FT55,参照データ!$D$92:$K$121,8,0))</f>
        <v>#N/A</v>
      </c>
      <c r="FV54" s="356" t="str">
        <f>IFERROR(VLOOKUP($FU54,参照データ!$K$92:$O$121,5,0),"")</f>
        <v/>
      </c>
      <c r="FY54" s="40">
        <f>(COUNTIF($J54:$O54,"&lt;&gt;"))*参照データ!$E$3</f>
        <v>0</v>
      </c>
      <c r="FZ54" s="267" t="str">
        <f>IF($P54="○",参照データ!$E$4,"")</f>
        <v/>
      </c>
      <c r="GA54" s="19">
        <f>(SUM(COUNTIF($Q54:$U54,{"入門","初級"}))*参照データ!$E$9)+(SUM(COUNTIF($Q54:$U54,{"中級","上級"})*参照データ!$E$10))</f>
        <v>0</v>
      </c>
      <c r="GB54" s="19">
        <f>IFERROR(VLOOKUP($V54,参照データ!$D$9:$J$11,7,0),0)</f>
        <v>0</v>
      </c>
      <c r="GC54" s="19">
        <f>((COUNTIF($Y54:$AG54,"オープン"))*参照データ!$E$12)</f>
        <v>0</v>
      </c>
      <c r="GD54" s="19" t="str">
        <f>(IF($AI54="オープン",参照データ!$J$12,""))</f>
        <v/>
      </c>
      <c r="GE54" s="19">
        <f>(COUNTIF($AN54:$AU54,"○")*参照データ!$E$22)</f>
        <v>0</v>
      </c>
      <c r="GF54" s="19">
        <f>(COUNTIF($AV54:$BA54,"○")*参照データ!$I$22)</f>
        <v>0</v>
      </c>
      <c r="GI54" s="19">
        <f>((COUNTIF($Y54:$AG54,"選手権"))*参照データ!$E$13)</f>
        <v>0</v>
      </c>
      <c r="GJ54" s="19" t="str">
        <f>(IF($AI54="選手権",参照データ!$J$13,""))</f>
        <v/>
      </c>
      <c r="GK54" s="106">
        <f t="array" ref="GK54">SUM(IF(ISERROR(FY54:GJ54),0,(FY54:GJ54)))</f>
        <v>0</v>
      </c>
      <c r="GL54" s="19"/>
      <c r="GM54" s="19">
        <f t="shared" si="54"/>
        <v>0</v>
      </c>
      <c r="GN54" s="19">
        <f t="shared" si="55"/>
        <v>0</v>
      </c>
      <c r="GO54" s="19">
        <f t="shared" si="56"/>
        <v>0</v>
      </c>
      <c r="GP54" s="19">
        <f t="shared" si="121"/>
        <v>0</v>
      </c>
      <c r="GQ54" s="19">
        <f t="shared" si="57"/>
        <v>0</v>
      </c>
      <c r="GR54" s="19">
        <f t="shared" si="58"/>
        <v>0</v>
      </c>
      <c r="GS54" s="19">
        <f t="shared" si="59"/>
        <v>0</v>
      </c>
      <c r="GT54" s="19">
        <f t="shared" si="60"/>
        <v>0</v>
      </c>
      <c r="GU54" s="19">
        <f t="shared" si="61"/>
        <v>0</v>
      </c>
      <c r="GV54" t="str">
        <f t="shared" si="122"/>
        <v/>
      </c>
      <c r="GW54" t="str">
        <f t="shared" si="62"/>
        <v/>
      </c>
      <c r="GX54" t="str">
        <f t="shared" si="123"/>
        <v/>
      </c>
      <c r="GY54" t="str">
        <f t="shared" si="63"/>
        <v/>
      </c>
      <c r="GZ54" t="str">
        <f t="shared" si="124"/>
        <v/>
      </c>
    </row>
    <row r="55" spans="1:208" ht="18.75" customHeight="1" x14ac:dyDescent="0.15">
      <c r="A55">
        <v>44</v>
      </c>
      <c r="B55" s="15" t="str">
        <f>IF(D55="","",IF(D55="重複","",COUNTIF(B$12:$B54,"&gt;0")+1))</f>
        <v/>
      </c>
      <c r="C55" s="713"/>
      <c r="D55" s="185"/>
      <c r="E55" s="185"/>
      <c r="F55" s="36"/>
      <c r="G55" s="47"/>
      <c r="H55" s="402">
        <f t="shared" si="112"/>
        <v>0</v>
      </c>
      <c r="I55" s="201" t="str">
        <f>IF($BJ55=0,"",DATEDIF($BJ55,参照データ!$D$16,"Y"))</f>
        <v/>
      </c>
      <c r="J55" s="41"/>
      <c r="K55" s="41"/>
      <c r="L55" s="41"/>
      <c r="M55" s="41"/>
      <c r="N55" s="41"/>
      <c r="O55" s="49"/>
      <c r="P55" s="395"/>
      <c r="Q55" s="51"/>
      <c r="R55" s="289"/>
      <c r="S55" s="289"/>
      <c r="T55" s="289"/>
      <c r="U55" s="290"/>
      <c r="V55" s="293"/>
      <c r="W55" s="295"/>
      <c r="Y55" s="446"/>
      <c r="Z55" s="396" t="str">
        <f>IF($Y55="オープン",VLOOKUP($CO55,参照データ!$D$69:$M$86,9,0),IF($Y55="選手権",VLOOKUP($FC55,参照データ!$D$92:$O$121,10,0),""))</f>
        <v/>
      </c>
      <c r="AA55" s="446"/>
      <c r="AB55" s="666" t="str">
        <f>IF($AA55="オープン",VLOOKUP($CO55,参照データ!$D$69:$M$86,10,0),IF($AA55="選手権",VLOOKUP($FC55,参照データ!$D$92:$O$121,11,0),""))</f>
        <v/>
      </c>
      <c r="AC55" s="669"/>
      <c r="AD55" s="396" t="str">
        <f>IF($AC55="オープン",VLOOKUP($CO55,参照データ!$D$69:$M$86,10,0),IF($AC55="選手権",VLOOKUP($FC55,参照データ!$D$92:$O$121,11,0),""))</f>
        <v/>
      </c>
      <c r="AE55" s="446"/>
      <c r="AF55" s="396" t="str">
        <f>IF($AE55="オープン",VLOOKUP($CO55,参照データ!$D$69:$M$86,10,0),IF($AE55="選手権",VLOOKUP($FJ55,参照データ!$D$92:$O$121,12,0),""))</f>
        <v/>
      </c>
      <c r="AG55" s="446"/>
      <c r="AH55" s="396" t="str">
        <f>IF($AG55="オープン",VLOOKUP($CO55,参照データ!$D$69:$M$86,10,0),IF($AG55="選手権",VLOOKUP($FJ55,参照データ!$D$92:$O$121,12,0),""))</f>
        <v/>
      </c>
      <c r="AI55" s="446"/>
      <c r="AJ55" s="449"/>
      <c r="AK55" s="396" t="str">
        <f t="shared" si="113"/>
        <v/>
      </c>
      <c r="AL55" s="587"/>
      <c r="AM55" s="588" t="str">
        <f>IF($BJ55=0,"",DATEDIF($BJ55,参照データ!$D$17,"Y"))</f>
        <v/>
      </c>
      <c r="AN55" s="450"/>
      <c r="AO55" s="591" t="str">
        <f>IF(AN55="","",IF($BK55="男子",VLOOKUP($DI55,参照データ!$D$128:$M$145,10,FALSE),VLOOKUP($DH55,参照データ!$D$128:$M$145,10,FALSE)))</f>
        <v/>
      </c>
      <c r="AP55" s="450"/>
      <c r="AQ55" s="591" t="str">
        <f>IF(AP55="","",IF($BK55="男子",VLOOKUP($DI55,参照データ!$D$128:$M$145,10,FALSE),VLOOKUP($DH55,参照データ!$D$128:$M$145,10,FALSE)))</f>
        <v/>
      </c>
      <c r="AR55" s="450"/>
      <c r="AS55" s="591" t="str">
        <f>IF(AR55="","",IF($BK55="男子",VLOOKUP($DI55,参照データ!$D$128:$M$145,10,FALSE),VLOOKUP($DH55,参照データ!$D$128:$M$145,10,FALSE)))</f>
        <v/>
      </c>
      <c r="AT55" s="450"/>
      <c r="AU55" s="591" t="str">
        <f>IF(AT55="","",IF($BK55="男子",VLOOKUP($DI55,参照データ!$D$128:$M$145,10,FALSE),VLOOKUP($DH55,参照データ!$D$128:$M$145,10,FALSE)))</f>
        <v/>
      </c>
      <c r="AV55" s="448"/>
      <c r="AW55" s="448"/>
      <c r="AX55" s="585" t="str">
        <f t="shared" si="25"/>
        <v/>
      </c>
      <c r="AY55" s="448"/>
      <c r="AZ55" s="448"/>
      <c r="BA55" s="585" t="str">
        <f t="shared" si="83"/>
        <v/>
      </c>
      <c r="BB55" s="677"/>
      <c r="BC55" s="724"/>
      <c r="BD55" s="640"/>
      <c r="BE55" s="482"/>
      <c r="BF55" s="365"/>
      <c r="BG55" s="366"/>
      <c r="BJ55">
        <f t="shared" si="75"/>
        <v>0</v>
      </c>
      <c r="BK55" t="str">
        <f t="shared" si="65"/>
        <v/>
      </c>
      <c r="BL55" s="146"/>
      <c r="BO55" s="61" t="str">
        <f>IF($BJ55=0,"",IF(AND($I55&gt;=6,$I55&lt;=19),VLOOKUP($I55,参照データ!$B$28:$C$41,2,0),IF($I55&lt;6,6,19)))</f>
        <v/>
      </c>
      <c r="BP55" s="178" t="str">
        <f>IF($J55=$BI$12,VLOOKUP($BO55,参照データ!$C$28:$I$41,2,0),"")</f>
        <v/>
      </c>
      <c r="BQ55" s="169" t="str">
        <f>IF($K55=$BI$12,VLOOKUP($BO55,参照データ!$C$28:$I$41,3,0),"")</f>
        <v/>
      </c>
      <c r="BR55" s="169" t="str">
        <f>IF($L55=$BI$12,VLOOKUP($BO55,参照データ!$C$28:$I$41,4,0),"")</f>
        <v/>
      </c>
      <c r="BS55" s="169" t="str">
        <f>IF($M55=$BI$12,VLOOKUP($BO55,参照データ!$C$28:$I$41,5,0),"")</f>
        <v/>
      </c>
      <c r="BT55" s="169" t="str">
        <f>IF($N55=$BI$12,VLOOKUP($BO55,参照データ!$C$28:$I$41,6,0),"")</f>
        <v/>
      </c>
      <c r="BU55" s="179" t="str">
        <f>IF($O55=$BI$12,VLOOKUP($BO55,参照データ!$C$28:$I$41,7,0),"")</f>
        <v/>
      </c>
      <c r="BV55" s="178" t="str">
        <f>IF($J55=$BI$13,VLOOKUP($BO55,参照データ!$C$28:$I$41,2,0),"")</f>
        <v/>
      </c>
      <c r="BW55" s="169" t="str">
        <f>IF($K55=$BI$13,VLOOKUP($BO55,参照データ!$C$28:$I$41,3,0),"")</f>
        <v/>
      </c>
      <c r="BX55" s="169" t="str">
        <f>IF($L55=$BI$13,VLOOKUP($BO55,参照データ!$C$28:$I$41,4,0),"")</f>
        <v/>
      </c>
      <c r="BY55" s="169" t="str">
        <f>IF($M55=$BI$13,VLOOKUP($BO55,参照データ!$C$28:$I$41,5,0),"")</f>
        <v/>
      </c>
      <c r="BZ55" s="169" t="str">
        <f>IF($N55=$BI$13,VLOOKUP($BO55,参照データ!$C$28:$I$41,6,0),"")</f>
        <v/>
      </c>
      <c r="CA55" s="179" t="str">
        <f>IF($O55=$BI$13,VLOOKUP($BO55,参照データ!$C$28:$I$41,7,0),"")</f>
        <v/>
      </c>
      <c r="CB55" s="271" t="str">
        <f t="shared" si="26"/>
        <v/>
      </c>
      <c r="CC55" s="177" t="str">
        <f>IF($Q55="入門",VLOOKUP($BO55,参照データ!$C$47:$U$60,2,0),IF($Q55="初級",VLOOKUP($BO55,参照データ!$C$47:$U$60,3,0),IF($Q55="中級",VLOOKUP($BO55,参照データ!$C$47:$U$60,4,0),IF($Q55="上級",VLOOKUP($BO55,参照データ!$C$47:$U$60,5,0),""))))</f>
        <v/>
      </c>
      <c r="CD55" s="177" t="str">
        <f>IF($R55="初級",VLOOKUP($BO55,参照データ!$C$47:$U$60,6,0),IF($R55="中級",VLOOKUP($BO55,参照データ!$C$47:$U$60,7,0),IF($R55="上級",VLOOKUP($BO55,参照データ!$C$47:$U$60,8,0),"")))</f>
        <v/>
      </c>
      <c r="CE55" s="177" t="str">
        <f>IF($S55="初級",VLOOKUP($BO55,参照データ!$C$47:$U$60,9,0),IF($S55="上級",VLOOKUP($BO55,参照データ!$C$47:$U$60,10,0),""))</f>
        <v/>
      </c>
      <c r="CF55" s="177" t="str">
        <f>IF($T55="初級",VLOOKUP($BO55,参照データ!$C$47:$U$60,11,0),IF($T55="中級",VLOOKUP($BO55,参照データ!$C$47:$U$60,12,0),IF($T55="上級",VLOOKUP($BO55,参照データ!$C$47:$U$60,13,0),"")))</f>
        <v/>
      </c>
      <c r="CG55" s="177" t="str">
        <f>IF($U55="初級",VLOOKUP($BO55,参照データ!$C$47:$U$60,14,0),IF($U55="中級",VLOOKUP($BO55,参照データ!$C$47:$U$60,15,0),IF($U55="上級",VLOOKUP($BO55,参照データ!$C$47:$U$60,16,0),"")))</f>
        <v/>
      </c>
      <c r="CH55" s="55" t="str">
        <f t="shared" si="5"/>
        <v/>
      </c>
      <c r="CI55" s="55" t="str">
        <f>IF($V55="初級",VLOOKUP($BO55,参照データ!$C$47:$U$60,17,0),IF($V55="中級",VLOOKUP($BO55,参照データ!$C$47:$U$60,18,0),IF($V55="上級",VLOOKUP($BO55,参照データ!$C$47:$U$60,19,0),"")))</f>
        <v/>
      </c>
      <c r="CJ55" s="868"/>
      <c r="CK55" s="73" t="s">
        <v>279</v>
      </c>
      <c r="CL55" s="150" t="str">
        <f t="shared" si="6"/>
        <v/>
      </c>
      <c r="CM55" s="872"/>
      <c r="CO55" s="61">
        <f>IF(AND($BJ55&gt;=参照データ!$C$71,$BJ55&lt;=参照データ!$C$69),1,IF(AND($BJ55&gt;=参照データ!$C$74,$BJ55&lt;=参照データ!$C$72),2,IF(AND($BJ55&gt;=参照データ!$C$77,$BJ55&lt;=参照データ!$C$75),3,IF(AND($BJ55&gt;=参照データ!$C$80,$BJ55&lt;=参照データ!$C$78),4,IF(AND($BJ55&gt;=参照データ!$C$83,$BJ55&lt;=参照データ!$C$81),5,IF(AND($BJ55&gt;0,$BJ55&lt;=参照データ!$C$84),6,""))))))</f>
        <v>5</v>
      </c>
      <c r="CP55" s="160" t="str">
        <f>IF($Y55="オープン",(VLOOKUP($CO55,参照データ!$D$69:$J$86,2,0)),"")</f>
        <v/>
      </c>
      <c r="CQ55" s="79" t="str">
        <f t="shared" si="27"/>
        <v/>
      </c>
      <c r="CR55" s="78" t="str">
        <f>IF($AA55="オープン",(VLOOKUP($CO55,参照データ!$D$69:$J$86,3,0)),"")</f>
        <v/>
      </c>
      <c r="CS55" s="79" t="str">
        <f t="shared" si="28"/>
        <v/>
      </c>
      <c r="CT55" s="78" t="str">
        <f>IF($AC55="オープン",(VLOOKUP($CO55,参照データ!$D$69:$J$86,4,0)),"")</f>
        <v/>
      </c>
      <c r="CU55" s="79" t="str">
        <f t="shared" si="29"/>
        <v/>
      </c>
      <c r="CV55" s="78" t="str">
        <f>IF($AE55="オープン",(VLOOKUP($CO55,参照データ!$D$69:$J$86,5,0)),"")</f>
        <v/>
      </c>
      <c r="CW55" s="79" t="str">
        <f t="shared" si="7"/>
        <v/>
      </c>
      <c r="CX55" s="78" t="str">
        <f>IF($AG55="オープン",(VLOOKUP($CO55,参照データ!$D$69:$J$86,6,0)),"")</f>
        <v/>
      </c>
      <c r="CY55" s="79" t="str">
        <f t="shared" si="30"/>
        <v/>
      </c>
      <c r="CZ55" s="38" t="str">
        <f t="shared" si="31"/>
        <v/>
      </c>
      <c r="DA55" s="37" t="str">
        <f t="shared" si="32"/>
        <v/>
      </c>
      <c r="DB55" s="79" t="str">
        <f t="shared" si="33"/>
        <v/>
      </c>
      <c r="DC55" s="858"/>
      <c r="DD55" s="85" t="s">
        <v>129</v>
      </c>
      <c r="DE55" s="86" t="str">
        <f t="shared" si="34"/>
        <v/>
      </c>
      <c r="DF55" s="860"/>
      <c r="DG55" s="350" t="str">
        <f t="shared" ref="DG55" si="137">$DG54</f>
        <v/>
      </c>
      <c r="DH55" s="523">
        <f>IF(AND($BJ55&gt;=参照データ!$C$130,$BJ55&lt;=参照データ!$C$128),1,IF(AND($BJ55&gt;=参照データ!$C$133,$BJ55&lt;=参照データ!$C$131),2,IF(AND($BJ55&gt;=参照データ!$C$139,$BJ55&lt;=参照データ!$C$137),3,IF(AND($BJ55&gt;0,$BJ55&lt;=参照データ!$C$140),4,""))))</f>
        <v>1</v>
      </c>
      <c r="DI55" s="523">
        <f t="shared" si="35"/>
        <v>7</v>
      </c>
      <c r="DJ55" s="523" t="str">
        <f t="shared" si="36"/>
        <v/>
      </c>
      <c r="DK55" s="524" t="str">
        <f>IF($AN55="","",IF(AND($AN55="○",$BK55="男子"),VLOOKUP($DI55,参照データ!$D$128:$J$145,3,FALSE),VLOOKUP($DH55,参照データ!$D$128:$J$145,3,FALSE)))</f>
        <v/>
      </c>
      <c r="DL55" s="525" t="str">
        <f t="shared" si="37"/>
        <v/>
      </c>
      <c r="DM55" s="524" t="str">
        <f>IF($AP55="","",IF(AND($AP55="○",$BK55="男子"),VLOOKUP($DI55,参照データ!$D$128:$J$145,4,FALSE),VLOOKUP($DH55,参照データ!$D$128:$J$145,4,FALSE)))</f>
        <v/>
      </c>
      <c r="DN55" s="525" t="str">
        <f t="shared" si="38"/>
        <v/>
      </c>
      <c r="DO55" s="524" t="str">
        <f>IF($AR55="","",IF(AND($AR55="○",$BK55="男子"),VLOOKUP($DI55,参照データ!$D$128:$J$145,5,FALSE),VLOOKUP($DH55,参照データ!$D$128:$J$145,5,FALSE)))</f>
        <v/>
      </c>
      <c r="DP55" s="525" t="str">
        <f t="shared" si="39"/>
        <v/>
      </c>
      <c r="DQ55" s="524" t="str">
        <f>IF($AT55="","",IF(AND($AT55="○",$BK55="男子"),VLOOKUP($DI55,参照データ!$D$128:$J$145,6,FALSE),VLOOKUP($DH55,参照データ!$D$128:$J$145,6,FALSE)))</f>
        <v/>
      </c>
      <c r="DR55" s="525" t="str">
        <f t="shared" si="40"/>
        <v/>
      </c>
      <c r="DS55" s="526" t="str">
        <f t="shared" si="41"/>
        <v/>
      </c>
      <c r="DT55" s="527" t="str">
        <f t="shared" si="42"/>
        <v/>
      </c>
      <c r="DU55" s="528" t="str">
        <f t="shared" si="43"/>
        <v/>
      </c>
      <c r="DV55" s="983"/>
      <c r="DW55" s="531" t="s">
        <v>129</v>
      </c>
      <c r="DX55" s="532" t="str">
        <f t="shared" si="92"/>
        <v/>
      </c>
      <c r="DY55" s="994"/>
      <c r="DZ55" s="692" t="str">
        <f>$DZ54</f>
        <v/>
      </c>
      <c r="EA55" s="526" t="str">
        <f t="shared" si="85"/>
        <v/>
      </c>
      <c r="EB55" s="527" t="str">
        <f t="shared" si="86"/>
        <v/>
      </c>
      <c r="EC55" s="528" t="str">
        <f t="shared" si="87"/>
        <v/>
      </c>
      <c r="ED55" s="983"/>
      <c r="EE55" s="531" t="s">
        <v>129</v>
      </c>
      <c r="EF55" s="531" t="str">
        <f t="shared" si="88"/>
        <v/>
      </c>
      <c r="EG55" s="532" t="str">
        <f>IF(SUM(EF54:EF55)&lt;24,"",IF(SUM(EF54:EF55)&gt;=36,3,2))</f>
        <v/>
      </c>
      <c r="EH55" s="994"/>
      <c r="EI55" s="527" t="str">
        <f>$EI54</f>
        <v/>
      </c>
      <c r="EJ55" s="555" t="str">
        <f t="shared" si="13"/>
        <v/>
      </c>
      <c r="EK55" s="556" t="str">
        <f t="shared" si="44"/>
        <v/>
      </c>
      <c r="EL55" s="846"/>
      <c r="EM55" s="561" t="s">
        <v>815</v>
      </c>
      <c r="EN55" s="562" t="str">
        <f t="shared" si="45"/>
        <v/>
      </c>
      <c r="EO55" s="849"/>
      <c r="EP55" s="555" t="str">
        <f t="shared" si="115"/>
        <v/>
      </c>
      <c r="EQ55" s="556" t="str">
        <f t="shared" si="46"/>
        <v/>
      </c>
      <c r="ER55" s="846"/>
      <c r="ES55" s="561" t="s">
        <v>815</v>
      </c>
      <c r="ET55" s="562" t="str">
        <f t="shared" si="47"/>
        <v/>
      </c>
      <c r="EU55" s="849"/>
      <c r="EV55" s="38" t="str">
        <f t="shared" si="116"/>
        <v/>
      </c>
      <c r="EW55" s="552" t="str">
        <f t="shared" si="48"/>
        <v/>
      </c>
      <c r="EX55" s="833"/>
      <c r="EY55" s="559" t="s">
        <v>835</v>
      </c>
      <c r="EZ55" s="560" t="str">
        <f t="shared" si="49"/>
        <v/>
      </c>
      <c r="FA55" s="835"/>
      <c r="FB55" t="str">
        <f>IF($FC55="","",DATEDIF($BJ55,参照データ!$D$19,"Y"))</f>
        <v/>
      </c>
      <c r="FC55" s="298" t="str">
        <f>IFERROR(IF($BK55="男子",VLOOKUP($FJ55,参照データ!$D$92:$E$118,2,0),$FJ55),0)</f>
        <v/>
      </c>
      <c r="FD55" s="92" t="str">
        <f>IF($Y55="選手権",(VLOOKUP($FC55,参照データ!$D$92:$K$121,3,0)),"")</f>
        <v/>
      </c>
      <c r="FE55" s="93" t="str">
        <f t="shared" si="117"/>
        <v/>
      </c>
      <c r="FF55" s="92" t="str">
        <f>IF($AA55="選手権",(VLOOKUP($FC55,参照データ!$D$92:$K$121,4,0)),"")</f>
        <v/>
      </c>
      <c r="FG55" s="93" t="str">
        <f t="shared" si="118"/>
        <v/>
      </c>
      <c r="FH55" s="92" t="str">
        <f>IF($AC55="選手権",(VLOOKUP($FC55,参照データ!$D$92:$K$121,5,0)),"")</f>
        <v/>
      </c>
      <c r="FI55" s="93" t="str">
        <f t="shared" si="119"/>
        <v/>
      </c>
      <c r="FJ55" s="61" t="str">
        <f>IF(AND($BJ55&gt;=参照データ!$C$94,$BJ55&lt;=参照データ!$C$92),1,IF(AND($BJ55&gt;=参照データ!$C$97,$BJ55&lt;=参照データ!$C$95),2,IF(AND($BJ55&gt;=参照データ!$C$103,$BJ55&lt;=参照データ!$C$101),3,IF(AND($BJ55&gt;=参照データ!$C$109,$BJ55&lt;=参照データ!$C$107),4,IF(AND($BJ55&gt;=参照データ!$C$115,$BJ55&lt;=参照データ!$C$113),5,IF(AND($BJ55&gt;0,$BJ55&lt;=参照データ!$C$116),6,""))))))</f>
        <v/>
      </c>
      <c r="FK55" s="92" t="str">
        <f>IF($AE55="選手権",(VLOOKUP($FJ55,参照データ!$D$92:$K$121,6,0)),"")</f>
        <v/>
      </c>
      <c r="FL55" s="93" t="str">
        <f t="shared" si="19"/>
        <v/>
      </c>
      <c r="FM55" s="92" t="str">
        <f>IF($AG55="選手権",(VLOOKUP($FJ55,参照データ!$D$92:$K$121,7,0)),"")</f>
        <v/>
      </c>
      <c r="FN55" s="93" t="str">
        <f t="shared" si="50"/>
        <v/>
      </c>
      <c r="FO55" s="38" t="str">
        <f t="shared" si="51"/>
        <v/>
      </c>
      <c r="FP55" s="37" t="str">
        <f t="shared" si="52"/>
        <v/>
      </c>
      <c r="FQ55" s="93" t="str">
        <f t="shared" si="53"/>
        <v/>
      </c>
      <c r="FR55" s="976"/>
      <c r="FS55" s="99" t="s">
        <v>129</v>
      </c>
      <c r="FT55" s="100" t="str">
        <f t="shared" si="120"/>
        <v/>
      </c>
      <c r="FU55" s="978"/>
      <c r="FV55" s="356" t="str">
        <f t="shared" ref="FV55" si="138">$FV54</f>
        <v/>
      </c>
      <c r="FY55" s="40">
        <f>(COUNTIF($J55:$O55,"&lt;&gt;"))*参照データ!$E$3</f>
        <v>0</v>
      </c>
      <c r="FZ55" s="267" t="str">
        <f>IF($P55="○",参照データ!$E$4,"")</f>
        <v/>
      </c>
      <c r="GA55" s="19">
        <f>(SUM(COUNTIF($Q55:$U55,{"入門","初級"}))*参照データ!$E$9)+(SUM(COUNTIF($Q55:$U55,{"中級","上級"})*参照データ!$E$10))</f>
        <v>0</v>
      </c>
      <c r="GB55" s="19">
        <f>IFERROR(VLOOKUP($V55,参照データ!$D$9:$J$11,7,0),0)</f>
        <v>0</v>
      </c>
      <c r="GC55" s="19">
        <f>((COUNTIF($Y55:$AG55,"オープン"))*参照データ!$E$12)</f>
        <v>0</v>
      </c>
      <c r="GD55" s="19" t="str">
        <f>(IF($AI55="オープン",参照データ!$J$12,""))</f>
        <v/>
      </c>
      <c r="GE55" s="19">
        <f>(COUNTIF($AN55:$AU55,"○")*参照データ!$E$22)</f>
        <v>0</v>
      </c>
      <c r="GF55" s="19">
        <f>(COUNTIF($AV55:$BA55,"○")*参照データ!$I$22)</f>
        <v>0</v>
      </c>
      <c r="GI55" s="19">
        <f>((COUNTIF($Y55:$AG55,"選手権"))*参照データ!$E$13)</f>
        <v>0</v>
      </c>
      <c r="GJ55" s="19" t="str">
        <f>(IF($AI55="選手権",参照データ!$J$13,""))</f>
        <v/>
      </c>
      <c r="GK55" s="106">
        <f t="array" ref="GK55">SUM(IF(ISERROR(FY55:GJ55),0,(FY55:GJ55)))</f>
        <v>0</v>
      </c>
      <c r="GL55" s="19"/>
      <c r="GM55" s="19">
        <f t="shared" si="54"/>
        <v>0</v>
      </c>
      <c r="GN55" s="19">
        <f t="shared" si="55"/>
        <v>0</v>
      </c>
      <c r="GO55" s="19">
        <f t="shared" si="56"/>
        <v>0</v>
      </c>
      <c r="GP55" s="19">
        <f t="shared" si="121"/>
        <v>0</v>
      </c>
      <c r="GQ55" s="19">
        <f t="shared" si="57"/>
        <v>0</v>
      </c>
      <c r="GR55" s="19">
        <f t="shared" si="58"/>
        <v>0</v>
      </c>
      <c r="GS55" s="19">
        <f t="shared" si="59"/>
        <v>0</v>
      </c>
      <c r="GT55" s="19">
        <f t="shared" si="60"/>
        <v>0</v>
      </c>
      <c r="GU55" s="19">
        <f t="shared" si="61"/>
        <v>0</v>
      </c>
      <c r="GV55" t="str">
        <f t="shared" si="122"/>
        <v/>
      </c>
      <c r="GW55" t="str">
        <f t="shared" si="62"/>
        <v/>
      </c>
      <c r="GX55" t="str">
        <f t="shared" si="123"/>
        <v/>
      </c>
      <c r="GY55" t="str">
        <f t="shared" si="63"/>
        <v/>
      </c>
      <c r="GZ55" t="str">
        <f t="shared" si="124"/>
        <v/>
      </c>
    </row>
    <row r="56" spans="1:208" ht="18.75" customHeight="1" x14ac:dyDescent="0.15">
      <c r="A56">
        <v>45</v>
      </c>
      <c r="B56" s="15" t="str">
        <f>IF(D56="","",IF(D56="重複","",COUNTIF(B$12:$B55,"&gt;0")+1))</f>
        <v/>
      </c>
      <c r="C56" s="713"/>
      <c r="D56" s="185"/>
      <c r="E56" s="185"/>
      <c r="F56" s="36"/>
      <c r="G56" s="47"/>
      <c r="H56" s="402">
        <f t="shared" si="112"/>
        <v>0</v>
      </c>
      <c r="I56" s="201" t="str">
        <f>IF($BJ56=0,"",DATEDIF($BJ56,参照データ!$D$16,"Y"))</f>
        <v/>
      </c>
      <c r="J56" s="41"/>
      <c r="K56" s="41"/>
      <c r="L56" s="41"/>
      <c r="M56" s="41"/>
      <c r="N56" s="41"/>
      <c r="O56" s="49"/>
      <c r="P56" s="395"/>
      <c r="Q56" s="51"/>
      <c r="R56" s="289"/>
      <c r="S56" s="289"/>
      <c r="T56" s="289"/>
      <c r="U56" s="290"/>
      <c r="V56" s="293"/>
      <c r="W56" s="295"/>
      <c r="Y56" s="446"/>
      <c r="Z56" s="396" t="str">
        <f>IF($Y56="オープン",VLOOKUP($CO56,参照データ!$D$69:$M$86,9,0),IF($Y56="選手権",VLOOKUP($FC56,参照データ!$D$92:$O$121,10,0),""))</f>
        <v/>
      </c>
      <c r="AA56" s="446"/>
      <c r="AB56" s="666" t="str">
        <f>IF($AA56="オープン",VLOOKUP($CO56,参照データ!$D$69:$M$86,10,0),IF($AA56="選手権",VLOOKUP($FC56,参照データ!$D$92:$O$121,11,0),""))</f>
        <v/>
      </c>
      <c r="AC56" s="669"/>
      <c r="AD56" s="396" t="str">
        <f>IF($AC56="オープン",VLOOKUP($CO56,参照データ!$D$69:$M$86,10,0),IF($AC56="選手権",VLOOKUP($FC56,参照データ!$D$92:$O$121,11,0),""))</f>
        <v/>
      </c>
      <c r="AE56" s="446"/>
      <c r="AF56" s="396" t="str">
        <f>IF($AE56="オープン",VLOOKUP($CO56,参照データ!$D$69:$M$86,10,0),IF($AE56="選手権",VLOOKUP($FJ56,参照データ!$D$92:$O$121,12,0),""))</f>
        <v/>
      </c>
      <c r="AG56" s="446"/>
      <c r="AH56" s="396" t="str">
        <f>IF($AG56="オープン",VLOOKUP($CO56,参照データ!$D$69:$M$86,10,0),IF($AG56="選手権",VLOOKUP($FJ56,参照データ!$D$92:$O$121,12,0),""))</f>
        <v/>
      </c>
      <c r="AI56" s="446"/>
      <c r="AJ56" s="449"/>
      <c r="AK56" s="396" t="str">
        <f t="shared" si="113"/>
        <v/>
      </c>
      <c r="AL56" s="587"/>
      <c r="AM56" s="588" t="str">
        <f>IF($BJ56=0,"",DATEDIF($BJ56,参照データ!$D$17,"Y"))</f>
        <v/>
      </c>
      <c r="AN56" s="450"/>
      <c r="AO56" s="591" t="str">
        <f>IF(AN56="","",IF($BK56="男子",VLOOKUP($DI56,参照データ!$D$128:$M$145,10,FALSE),VLOOKUP($DH56,参照データ!$D$128:$M$145,10,FALSE)))</f>
        <v/>
      </c>
      <c r="AP56" s="450"/>
      <c r="AQ56" s="591" t="str">
        <f>IF(AP56="","",IF($BK56="男子",VLOOKUP($DI56,参照データ!$D$128:$M$145,10,FALSE),VLOOKUP($DH56,参照データ!$D$128:$M$145,10,FALSE)))</f>
        <v/>
      </c>
      <c r="AR56" s="450"/>
      <c r="AS56" s="591" t="str">
        <f>IF(AR56="","",IF($BK56="男子",VLOOKUP($DI56,参照データ!$D$128:$M$145,10,FALSE),VLOOKUP($DH56,参照データ!$D$128:$M$145,10,FALSE)))</f>
        <v/>
      </c>
      <c r="AT56" s="450"/>
      <c r="AU56" s="591" t="str">
        <f>IF(AT56="","",IF($BK56="男子",VLOOKUP($DI56,参照データ!$D$128:$M$145,10,FALSE),VLOOKUP($DH56,参照データ!$D$128:$M$145,10,FALSE)))</f>
        <v/>
      </c>
      <c r="AV56" s="448"/>
      <c r="AW56" s="448"/>
      <c r="AX56" s="585" t="str">
        <f t="shared" si="25"/>
        <v/>
      </c>
      <c r="AY56" s="448"/>
      <c r="AZ56" s="448"/>
      <c r="BA56" s="585" t="str">
        <f t="shared" si="83"/>
        <v/>
      </c>
      <c r="BB56" s="677"/>
      <c r="BC56" s="724"/>
      <c r="BD56" s="640"/>
      <c r="BE56" s="482"/>
      <c r="BF56" s="365"/>
      <c r="BG56" s="366"/>
      <c r="BJ56">
        <f t="shared" si="75"/>
        <v>0</v>
      </c>
      <c r="BK56" t="str">
        <f t="shared" si="65"/>
        <v/>
      </c>
      <c r="BL56" s="146"/>
      <c r="BO56" s="61" t="str">
        <f>IF($BJ56=0,"",IF(AND($I56&gt;=6,$I56&lt;=19),VLOOKUP($I56,参照データ!$B$28:$C$41,2,0),IF($I56&lt;6,6,19)))</f>
        <v/>
      </c>
      <c r="BP56" s="178" t="str">
        <f>IF($J56=$BI$12,VLOOKUP($BO56,参照データ!$C$28:$I$41,2,0),"")</f>
        <v/>
      </c>
      <c r="BQ56" s="169" t="str">
        <f>IF($K56=$BI$12,VLOOKUP($BO56,参照データ!$C$28:$I$41,3,0),"")</f>
        <v/>
      </c>
      <c r="BR56" s="169" t="str">
        <f>IF($L56=$BI$12,VLOOKUP($BO56,参照データ!$C$28:$I$41,4,0),"")</f>
        <v/>
      </c>
      <c r="BS56" s="169" t="str">
        <f>IF($M56=$BI$12,VLOOKUP($BO56,参照データ!$C$28:$I$41,5,0),"")</f>
        <v/>
      </c>
      <c r="BT56" s="169" t="str">
        <f>IF($N56=$BI$12,VLOOKUP($BO56,参照データ!$C$28:$I$41,6,0),"")</f>
        <v/>
      </c>
      <c r="BU56" s="179" t="str">
        <f>IF($O56=$BI$12,VLOOKUP($BO56,参照データ!$C$28:$I$41,7,0),"")</f>
        <v/>
      </c>
      <c r="BV56" s="178" t="str">
        <f>IF($J56=$BI$13,VLOOKUP($BO56,参照データ!$C$28:$I$41,2,0),"")</f>
        <v/>
      </c>
      <c r="BW56" s="169" t="str">
        <f>IF($K56=$BI$13,VLOOKUP($BO56,参照データ!$C$28:$I$41,3,0),"")</f>
        <v/>
      </c>
      <c r="BX56" s="169" t="str">
        <f>IF($L56=$BI$13,VLOOKUP($BO56,参照データ!$C$28:$I$41,4,0),"")</f>
        <v/>
      </c>
      <c r="BY56" s="169" t="str">
        <f>IF($M56=$BI$13,VLOOKUP($BO56,参照データ!$C$28:$I$41,5,0),"")</f>
        <v/>
      </c>
      <c r="BZ56" s="169" t="str">
        <f>IF($N56=$BI$13,VLOOKUP($BO56,参照データ!$C$28:$I$41,6,0),"")</f>
        <v/>
      </c>
      <c r="CA56" s="179" t="str">
        <f>IF($O56=$BI$13,VLOOKUP($BO56,参照データ!$C$28:$I$41,7,0),"")</f>
        <v/>
      </c>
      <c r="CB56" s="271" t="str">
        <f t="shared" si="26"/>
        <v/>
      </c>
      <c r="CC56" s="177" t="str">
        <f>IF($Q56="入門",VLOOKUP($BO56,参照データ!$C$47:$U$60,2,0),IF($Q56="初級",VLOOKUP($BO56,参照データ!$C$47:$U$60,3,0),IF($Q56="中級",VLOOKUP($BO56,参照データ!$C$47:$U$60,4,0),IF($Q56="上級",VLOOKUP($BO56,参照データ!$C$47:$U$60,5,0),""))))</f>
        <v/>
      </c>
      <c r="CD56" s="177" t="str">
        <f>IF($R56="初級",VLOOKUP($BO56,参照データ!$C$47:$U$60,6,0),IF($R56="中級",VLOOKUP($BO56,参照データ!$C$47:$U$60,7,0),IF($R56="上級",VLOOKUP($BO56,参照データ!$C$47:$U$60,8,0),"")))</f>
        <v/>
      </c>
      <c r="CE56" s="177" t="str">
        <f>IF($S56="初級",VLOOKUP($BO56,参照データ!$C$47:$U$60,9,0),IF($S56="上級",VLOOKUP($BO56,参照データ!$C$47:$U$60,10,0),""))</f>
        <v/>
      </c>
      <c r="CF56" s="177" t="str">
        <f>IF($T56="初級",VLOOKUP($BO56,参照データ!$C$47:$U$60,11,0),IF($T56="中級",VLOOKUP($BO56,参照データ!$C$47:$U$60,12,0),IF($T56="上級",VLOOKUP($BO56,参照データ!$C$47:$U$60,13,0),"")))</f>
        <v/>
      </c>
      <c r="CG56" s="177" t="str">
        <f>IF($U56="初級",VLOOKUP($BO56,参照データ!$C$47:$U$60,14,0),IF($U56="中級",VLOOKUP($BO56,参照データ!$C$47:$U$60,15,0),IF($U56="上級",VLOOKUP($BO56,参照データ!$C$47:$U$60,16,0),"")))</f>
        <v/>
      </c>
      <c r="CH56" s="55" t="str">
        <f t="shared" si="5"/>
        <v/>
      </c>
      <c r="CI56" s="55" t="str">
        <f>IF($V56="初級",VLOOKUP($BO56,参照データ!$C$47:$U$60,17,0),IF($V56="中級",VLOOKUP($BO56,参照データ!$C$47:$U$60,18,0),IF($V56="上級",VLOOKUP($BO56,参照データ!$C$47:$U$60,19,0),"")))</f>
        <v/>
      </c>
      <c r="CJ56" s="867">
        <v>23</v>
      </c>
      <c r="CK56" s="74" t="s">
        <v>280</v>
      </c>
      <c r="CL56" s="151" t="str">
        <f t="shared" si="6"/>
        <v/>
      </c>
      <c r="CM56" s="871" t="str">
        <f t="shared" ref="CM56" si="139">IF(OR($CL56="",$CL57=""),"",IF($CL56&gt;$CL57,$CL56,$CL57))</f>
        <v/>
      </c>
      <c r="CO56" s="61">
        <f>IF(AND($BJ56&gt;=参照データ!$C$71,$BJ56&lt;=参照データ!$C$69),1,IF(AND($BJ56&gt;=参照データ!$C$74,$BJ56&lt;=参照データ!$C$72),2,IF(AND($BJ56&gt;=参照データ!$C$77,$BJ56&lt;=参照データ!$C$75),3,IF(AND($BJ56&gt;=参照データ!$C$80,$BJ56&lt;=参照データ!$C$78),4,IF(AND($BJ56&gt;=参照データ!$C$83,$BJ56&lt;=参照データ!$C$81),5,IF(AND($BJ56&gt;0,$BJ56&lt;=参照データ!$C$84),6,""))))))</f>
        <v>5</v>
      </c>
      <c r="CP56" s="160" t="str">
        <f>IF($Y56="オープン",(VLOOKUP($CO56,参照データ!$D$69:$J$86,2,0)),"")</f>
        <v/>
      </c>
      <c r="CQ56" s="79" t="str">
        <f t="shared" si="27"/>
        <v/>
      </c>
      <c r="CR56" s="78" t="str">
        <f>IF($AA56="オープン",(VLOOKUP($CO56,参照データ!$D$69:$J$86,3,0)),"")</f>
        <v/>
      </c>
      <c r="CS56" s="79" t="str">
        <f t="shared" si="28"/>
        <v/>
      </c>
      <c r="CT56" s="78" t="str">
        <f>IF($AC56="オープン",(VLOOKUP($CO56,参照データ!$D$69:$J$86,4,0)),"")</f>
        <v/>
      </c>
      <c r="CU56" s="79" t="str">
        <f t="shared" si="29"/>
        <v/>
      </c>
      <c r="CV56" s="78" t="str">
        <f>IF($AE56="オープン",(VLOOKUP($CO56,参照データ!$D$69:$J$86,5,0)),"")</f>
        <v/>
      </c>
      <c r="CW56" s="79" t="str">
        <f t="shared" si="7"/>
        <v/>
      </c>
      <c r="CX56" s="78" t="str">
        <f>IF($AG56="オープン",(VLOOKUP($CO56,参照データ!$D$69:$J$86,6,0)),"")</f>
        <v/>
      </c>
      <c r="CY56" s="79" t="str">
        <f t="shared" si="30"/>
        <v/>
      </c>
      <c r="CZ56" s="38" t="str">
        <f t="shared" si="31"/>
        <v/>
      </c>
      <c r="DA56" s="37" t="str">
        <f t="shared" si="32"/>
        <v/>
      </c>
      <c r="DB56" s="79" t="str">
        <f t="shared" si="33"/>
        <v/>
      </c>
      <c r="DC56" s="857">
        <v>23</v>
      </c>
      <c r="DD56" s="87" t="s">
        <v>130</v>
      </c>
      <c r="DE56" s="88" t="str">
        <f t="shared" si="34"/>
        <v/>
      </c>
      <c r="DF56" s="859" t="e">
        <f>IF($DE56&gt;$DE57,VLOOKUP($DE56,参照データ!$D$69:$J$86,7,0),VLOOKUP($DE57,参照データ!$D$69:$J$86,7,0))</f>
        <v>#N/A</v>
      </c>
      <c r="DG56" s="350" t="str">
        <f>IFERROR(VLOOKUP($DF56,参照データ!$J$69:$M$86,4,0),"")</f>
        <v/>
      </c>
      <c r="DH56" s="523">
        <f>IF(AND($BJ56&gt;=参照データ!$C$130,$BJ56&lt;=参照データ!$C$128),1,IF(AND($BJ56&gt;=参照データ!$C$133,$BJ56&lt;=参照データ!$C$131),2,IF(AND($BJ56&gt;=参照データ!$C$139,$BJ56&lt;=参照データ!$C$137),3,IF(AND($BJ56&gt;0,$BJ56&lt;=参照データ!$C$140),4,""))))</f>
        <v>1</v>
      </c>
      <c r="DI56" s="523">
        <f t="shared" si="35"/>
        <v>7</v>
      </c>
      <c r="DJ56" s="523" t="str">
        <f t="shared" si="36"/>
        <v/>
      </c>
      <c r="DK56" s="524" t="str">
        <f>IF($AN56="","",IF(AND($AN56="○",$BK56="男子"),VLOOKUP($DI56,参照データ!$D$128:$J$145,3,FALSE),VLOOKUP($DH56,参照データ!$D$128:$J$145,3,FALSE)))</f>
        <v/>
      </c>
      <c r="DL56" s="525" t="str">
        <f t="shared" si="37"/>
        <v/>
      </c>
      <c r="DM56" s="524" t="str">
        <f>IF($AP56="","",IF(AND($AP56="○",$BK56="男子"),VLOOKUP($DI56,参照データ!$D$128:$J$145,4,FALSE),VLOOKUP($DH56,参照データ!$D$128:$J$145,4,FALSE)))</f>
        <v/>
      </c>
      <c r="DN56" s="525" t="str">
        <f t="shared" si="38"/>
        <v/>
      </c>
      <c r="DO56" s="524" t="str">
        <f>IF($AR56="","",IF(AND($AR56="○",$BK56="男子"),VLOOKUP($DI56,参照データ!$D$128:$J$145,5,FALSE),VLOOKUP($DH56,参照データ!$D$128:$J$145,5,FALSE)))</f>
        <v/>
      </c>
      <c r="DP56" s="525" t="str">
        <f t="shared" si="39"/>
        <v/>
      </c>
      <c r="DQ56" s="524" t="str">
        <f>IF($AT56="","",IF(AND($AT56="○",$BK56="男子"),VLOOKUP($DI56,参照データ!$D$128:$J$145,6,FALSE),VLOOKUP($DH56,参照データ!$D$128:$J$145,6,FALSE)))</f>
        <v/>
      </c>
      <c r="DR56" s="525" t="str">
        <f t="shared" si="40"/>
        <v/>
      </c>
      <c r="DS56" s="526" t="str">
        <f t="shared" si="41"/>
        <v/>
      </c>
      <c r="DT56" s="527" t="str">
        <f t="shared" si="42"/>
        <v/>
      </c>
      <c r="DU56" s="528" t="str">
        <f t="shared" si="43"/>
        <v/>
      </c>
      <c r="DV56" s="982">
        <v>23</v>
      </c>
      <c r="DW56" s="533" t="s">
        <v>130</v>
      </c>
      <c r="DX56" s="534" t="str">
        <f t="shared" si="92"/>
        <v/>
      </c>
      <c r="DY56" s="877" t="e">
        <f>IF($DX56&gt;$DX57,VLOOKUP($DX56,参照データ!$D$128:$K$145,7,0),VLOOKUP($DX57,参照データ!$D$128:$K$145,7,0))</f>
        <v>#N/A</v>
      </c>
      <c r="DZ56" s="692" t="str">
        <f>IFERROR(VLOOKUP($DY56,参照データ!$J$128:$N$145,5,0),"")</f>
        <v/>
      </c>
      <c r="EA56" s="526" t="str">
        <f t="shared" si="85"/>
        <v/>
      </c>
      <c r="EB56" s="527" t="str">
        <f t="shared" si="86"/>
        <v/>
      </c>
      <c r="EC56" s="528" t="str">
        <f t="shared" si="87"/>
        <v/>
      </c>
      <c r="ED56" s="982">
        <v>23</v>
      </c>
      <c r="EE56" s="533" t="s">
        <v>130</v>
      </c>
      <c r="EF56" s="533" t="str">
        <f t="shared" si="88"/>
        <v/>
      </c>
      <c r="EG56" s="534" t="str">
        <f>IF(SUM(EF56:EF57)&lt;24,"",IF(SUM(EF56:EF57)&gt;=36,3,2))</f>
        <v/>
      </c>
      <c r="EH56" s="877" t="e">
        <f>IF($EG56&gt;$EG57,VLOOKUP($EG56,参照データ!$D$128:$K$145,8,0),VLOOKUP($EG57,参照データ!$D$128:$K$145,8,0))</f>
        <v>#N/A</v>
      </c>
      <c r="EI56" s="527" t="str">
        <f>IFERROR(VLOOKUP($EH56,参照データ!$K$128:$N$145,4,0),"")</f>
        <v/>
      </c>
      <c r="EJ56" s="555" t="str">
        <f t="shared" si="13"/>
        <v/>
      </c>
      <c r="EK56" s="556" t="str">
        <f t="shared" si="44"/>
        <v/>
      </c>
      <c r="EL56" s="846"/>
      <c r="EM56" s="561" t="s">
        <v>816</v>
      </c>
      <c r="EN56" s="562" t="str">
        <f t="shared" si="45"/>
        <v/>
      </c>
      <c r="EO56" s="849"/>
      <c r="EP56" s="555" t="str">
        <f t="shared" si="115"/>
        <v/>
      </c>
      <c r="EQ56" s="556" t="str">
        <f t="shared" si="46"/>
        <v/>
      </c>
      <c r="ER56" s="846"/>
      <c r="ES56" s="561" t="s">
        <v>816</v>
      </c>
      <c r="ET56" s="562" t="str">
        <f t="shared" si="47"/>
        <v/>
      </c>
      <c r="EU56" s="849"/>
      <c r="EV56" s="38" t="str">
        <f t="shared" si="116"/>
        <v/>
      </c>
      <c r="EW56" s="552" t="str">
        <f t="shared" si="48"/>
        <v/>
      </c>
      <c r="EX56" s="833"/>
      <c r="EY56" s="559" t="s">
        <v>836</v>
      </c>
      <c r="EZ56" s="560" t="str">
        <f t="shared" si="49"/>
        <v/>
      </c>
      <c r="FA56" s="835"/>
      <c r="FB56" t="str">
        <f>IF($FC56="","",DATEDIF($BJ56,参照データ!$D$19,"Y"))</f>
        <v/>
      </c>
      <c r="FC56" s="298" t="str">
        <f>IFERROR(IF($BK56="男子",VLOOKUP($FJ56,参照データ!$D$92:$E$118,2,0),$FJ56),0)</f>
        <v/>
      </c>
      <c r="FD56" s="92" t="str">
        <f>IF($Y56="選手権",(VLOOKUP($FC56,参照データ!$D$92:$K$121,3,0)),"")</f>
        <v/>
      </c>
      <c r="FE56" s="93" t="str">
        <f t="shared" si="117"/>
        <v/>
      </c>
      <c r="FF56" s="92" t="str">
        <f>IF($AA56="選手権",(VLOOKUP($FC56,参照データ!$D$92:$K$121,4,0)),"")</f>
        <v/>
      </c>
      <c r="FG56" s="93" t="str">
        <f t="shared" si="118"/>
        <v/>
      </c>
      <c r="FH56" s="92" t="str">
        <f>IF($AC56="選手権",(VLOOKUP($FC56,参照データ!$D$92:$K$121,5,0)),"")</f>
        <v/>
      </c>
      <c r="FI56" s="93" t="str">
        <f t="shared" si="119"/>
        <v/>
      </c>
      <c r="FJ56" s="61" t="str">
        <f>IF(AND($BJ56&gt;=参照データ!$C$94,$BJ56&lt;=参照データ!$C$92),1,IF(AND($BJ56&gt;=参照データ!$C$97,$BJ56&lt;=参照データ!$C$95),2,IF(AND($BJ56&gt;=参照データ!$C$103,$BJ56&lt;=参照データ!$C$101),3,IF(AND($BJ56&gt;=参照データ!$C$109,$BJ56&lt;=参照データ!$C$107),4,IF(AND($BJ56&gt;=参照データ!$C$115,$BJ56&lt;=参照データ!$C$113),5,IF(AND($BJ56&gt;0,$BJ56&lt;=参照データ!$C$116),6,""))))))</f>
        <v/>
      </c>
      <c r="FK56" s="92" t="str">
        <f>IF($AE56="選手権",(VLOOKUP($FJ56,参照データ!$D$92:$K$121,6,0)),"")</f>
        <v/>
      </c>
      <c r="FL56" s="93" t="str">
        <f t="shared" si="19"/>
        <v/>
      </c>
      <c r="FM56" s="92" t="str">
        <f>IF($AG56="選手権",(VLOOKUP($FJ56,参照データ!$D$92:$K$121,7,0)),"")</f>
        <v/>
      </c>
      <c r="FN56" s="93" t="str">
        <f t="shared" si="50"/>
        <v/>
      </c>
      <c r="FO56" s="38" t="str">
        <f t="shared" si="51"/>
        <v/>
      </c>
      <c r="FP56" s="37" t="str">
        <f t="shared" si="52"/>
        <v/>
      </c>
      <c r="FQ56" s="93" t="str">
        <f t="shared" si="53"/>
        <v/>
      </c>
      <c r="FR56" s="979">
        <v>23</v>
      </c>
      <c r="FS56" s="101" t="s">
        <v>130</v>
      </c>
      <c r="FT56" s="102" t="str">
        <f t="shared" si="120"/>
        <v/>
      </c>
      <c r="FU56" s="980" t="e">
        <f>IF($FT56&gt;$FT57,VLOOKUP($FT56,参照データ!$D$92:$K$121,8,0),VLOOKUP($FT57,参照データ!$D$92:$K$121,8,0))</f>
        <v>#N/A</v>
      </c>
      <c r="FV56" s="356" t="str">
        <f>IFERROR(VLOOKUP($FU56,参照データ!$K$92:$O$121,5,0),"")</f>
        <v/>
      </c>
      <c r="FY56" s="40">
        <f>(COUNTIF($J56:$O56,"&lt;&gt;"))*参照データ!$E$3</f>
        <v>0</v>
      </c>
      <c r="FZ56" s="267" t="str">
        <f>IF($P56="○",参照データ!$E$4,"")</f>
        <v/>
      </c>
      <c r="GA56" s="19">
        <f>(SUM(COUNTIF($Q56:$U56,{"入門","初級"}))*参照データ!$E$9)+(SUM(COUNTIF($Q56:$U56,{"中級","上級"})*参照データ!$E$10))</f>
        <v>0</v>
      </c>
      <c r="GB56" s="19">
        <f>IFERROR(VLOOKUP($V56,参照データ!$D$9:$J$11,7,0),0)</f>
        <v>0</v>
      </c>
      <c r="GC56" s="19">
        <f>((COUNTIF($Y56:$AG56,"オープン"))*参照データ!$E$12)</f>
        <v>0</v>
      </c>
      <c r="GD56" s="19" t="str">
        <f>(IF($AI56="オープン",参照データ!$J$12,""))</f>
        <v/>
      </c>
      <c r="GE56" s="19">
        <f>(COUNTIF($AN56:$AU56,"○")*参照データ!$E$22)</f>
        <v>0</v>
      </c>
      <c r="GF56" s="19">
        <f>(COUNTIF($AV56:$BA56,"○")*参照データ!$I$22)</f>
        <v>0</v>
      </c>
      <c r="GI56" s="19">
        <f>((COUNTIF($Y56:$AG56,"選手権"))*参照データ!$E$13)</f>
        <v>0</v>
      </c>
      <c r="GJ56" s="19" t="str">
        <f>(IF($AI56="選手権",参照データ!$J$13,""))</f>
        <v/>
      </c>
      <c r="GK56" s="106">
        <f t="array" ref="GK56">SUM(IF(ISERROR(FY56:GJ56),0,(FY56:GJ56)))</f>
        <v>0</v>
      </c>
      <c r="GL56" s="19"/>
      <c r="GM56" s="19">
        <f t="shared" si="54"/>
        <v>0</v>
      </c>
      <c r="GN56" s="19">
        <f t="shared" si="55"/>
        <v>0</v>
      </c>
      <c r="GO56" s="19">
        <f t="shared" si="56"/>
        <v>0</v>
      </c>
      <c r="GP56" s="19">
        <f t="shared" si="121"/>
        <v>0</v>
      </c>
      <c r="GQ56" s="19">
        <f t="shared" si="57"/>
        <v>0</v>
      </c>
      <c r="GR56" s="19">
        <f t="shared" si="58"/>
        <v>0</v>
      </c>
      <c r="GS56" s="19">
        <f t="shared" si="59"/>
        <v>0</v>
      </c>
      <c r="GT56" s="19">
        <f t="shared" si="60"/>
        <v>0</v>
      </c>
      <c r="GU56" s="19">
        <f t="shared" si="61"/>
        <v>0</v>
      </c>
      <c r="GV56" t="str">
        <f t="shared" si="122"/>
        <v/>
      </c>
      <c r="GW56" t="str">
        <f t="shared" si="62"/>
        <v/>
      </c>
      <c r="GX56" t="str">
        <f t="shared" si="123"/>
        <v/>
      </c>
      <c r="GY56" t="str">
        <f t="shared" si="63"/>
        <v/>
      </c>
      <c r="GZ56" t="str">
        <f t="shared" si="124"/>
        <v/>
      </c>
    </row>
    <row r="57" spans="1:208" ht="18.75" customHeight="1" x14ac:dyDescent="0.15">
      <c r="A57">
        <v>46</v>
      </c>
      <c r="B57" s="15" t="str">
        <f>IF(D57="","",IF(D57="重複","",COUNTIF(B$12:$B56,"&gt;0")+1))</f>
        <v/>
      </c>
      <c r="C57" s="713"/>
      <c r="D57" s="185"/>
      <c r="E57" s="185"/>
      <c r="F57" s="36"/>
      <c r="G57" s="47"/>
      <c r="H57" s="402">
        <f t="shared" si="112"/>
        <v>0</v>
      </c>
      <c r="I57" s="201" t="str">
        <f>IF($BJ57=0,"",DATEDIF($BJ57,参照データ!$D$16,"Y"))</f>
        <v/>
      </c>
      <c r="J57" s="41"/>
      <c r="K57" s="41"/>
      <c r="L57" s="41"/>
      <c r="M57" s="41"/>
      <c r="N57" s="41"/>
      <c r="O57" s="49"/>
      <c r="P57" s="395"/>
      <c r="Q57" s="51"/>
      <c r="R57" s="289"/>
      <c r="S57" s="289"/>
      <c r="T57" s="289"/>
      <c r="U57" s="290"/>
      <c r="V57" s="293"/>
      <c r="W57" s="295"/>
      <c r="Y57" s="446"/>
      <c r="Z57" s="396" t="str">
        <f>IF($Y57="オープン",VLOOKUP($CO57,参照データ!$D$69:$M$86,9,0),IF($Y57="選手権",VLOOKUP($FC57,参照データ!$D$92:$O$121,10,0),""))</f>
        <v/>
      </c>
      <c r="AA57" s="446"/>
      <c r="AB57" s="666" t="str">
        <f>IF($AA57="オープン",VLOOKUP($CO57,参照データ!$D$69:$M$86,10,0),IF($AA57="選手権",VLOOKUP($FC57,参照データ!$D$92:$O$121,11,0),""))</f>
        <v/>
      </c>
      <c r="AC57" s="669"/>
      <c r="AD57" s="396" t="str">
        <f>IF($AC57="オープン",VLOOKUP($CO57,参照データ!$D$69:$M$86,10,0),IF($AC57="選手権",VLOOKUP($FC57,参照データ!$D$92:$O$121,11,0),""))</f>
        <v/>
      </c>
      <c r="AE57" s="446"/>
      <c r="AF57" s="396" t="str">
        <f>IF($AE57="オープン",VLOOKUP($CO57,参照データ!$D$69:$M$86,10,0),IF($AE57="選手権",VLOOKUP($FJ57,参照データ!$D$92:$O$121,12,0),""))</f>
        <v/>
      </c>
      <c r="AG57" s="446"/>
      <c r="AH57" s="396" t="str">
        <f>IF($AG57="オープン",VLOOKUP($CO57,参照データ!$D$69:$M$86,10,0),IF($AG57="選手権",VLOOKUP($FJ57,参照データ!$D$92:$O$121,12,0),""))</f>
        <v/>
      </c>
      <c r="AI57" s="446"/>
      <c r="AJ57" s="449"/>
      <c r="AK57" s="396" t="str">
        <f t="shared" si="113"/>
        <v/>
      </c>
      <c r="AL57" s="587"/>
      <c r="AM57" s="588" t="str">
        <f>IF($BJ57=0,"",DATEDIF($BJ57,参照データ!$D$17,"Y"))</f>
        <v/>
      </c>
      <c r="AN57" s="450"/>
      <c r="AO57" s="591" t="str">
        <f>IF(AN57="","",IF($BK57="男子",VLOOKUP($DI57,参照データ!$D$128:$M$145,10,FALSE),VLOOKUP($DH57,参照データ!$D$128:$M$145,10,FALSE)))</f>
        <v/>
      </c>
      <c r="AP57" s="450"/>
      <c r="AQ57" s="591" t="str">
        <f>IF(AP57="","",IF($BK57="男子",VLOOKUP($DI57,参照データ!$D$128:$M$145,10,FALSE),VLOOKUP($DH57,参照データ!$D$128:$M$145,10,FALSE)))</f>
        <v/>
      </c>
      <c r="AR57" s="450"/>
      <c r="AS57" s="591" t="str">
        <f>IF(AR57="","",IF($BK57="男子",VLOOKUP($DI57,参照データ!$D$128:$M$145,10,FALSE),VLOOKUP($DH57,参照データ!$D$128:$M$145,10,FALSE)))</f>
        <v/>
      </c>
      <c r="AT57" s="450"/>
      <c r="AU57" s="591" t="str">
        <f>IF(AT57="","",IF($BK57="男子",VLOOKUP($DI57,参照データ!$D$128:$M$145,10,FALSE),VLOOKUP($DH57,参照データ!$D$128:$M$145,10,FALSE)))</f>
        <v/>
      </c>
      <c r="AV57" s="448"/>
      <c r="AW57" s="448"/>
      <c r="AX57" s="585" t="str">
        <f t="shared" si="25"/>
        <v/>
      </c>
      <c r="AY57" s="448"/>
      <c r="AZ57" s="448"/>
      <c r="BA57" s="585" t="str">
        <f t="shared" si="83"/>
        <v/>
      </c>
      <c r="BB57" s="677"/>
      <c r="BC57" s="724"/>
      <c r="BD57" s="640"/>
      <c r="BE57" s="482"/>
      <c r="BF57" s="365"/>
      <c r="BG57" s="366"/>
      <c r="BJ57">
        <f t="shared" si="75"/>
        <v>0</v>
      </c>
      <c r="BK57" t="str">
        <f t="shared" si="65"/>
        <v/>
      </c>
      <c r="BL57" s="146"/>
      <c r="BO57" s="61" t="str">
        <f>IF($BJ57=0,"",IF(AND($I57&gt;=6,$I57&lt;=19),VLOOKUP($I57,参照データ!$B$28:$C$41,2,0),IF($I57&lt;6,6,19)))</f>
        <v/>
      </c>
      <c r="BP57" s="178" t="str">
        <f>IF($J57=$BI$12,VLOOKUP($BO57,参照データ!$C$28:$I$41,2,0),"")</f>
        <v/>
      </c>
      <c r="BQ57" s="169" t="str">
        <f>IF($K57=$BI$12,VLOOKUP($BO57,参照データ!$C$28:$I$41,3,0),"")</f>
        <v/>
      </c>
      <c r="BR57" s="169" t="str">
        <f>IF($L57=$BI$12,VLOOKUP($BO57,参照データ!$C$28:$I$41,4,0),"")</f>
        <v/>
      </c>
      <c r="BS57" s="169" t="str">
        <f>IF($M57=$BI$12,VLOOKUP($BO57,参照データ!$C$28:$I$41,5,0),"")</f>
        <v/>
      </c>
      <c r="BT57" s="169" t="str">
        <f>IF($N57=$BI$12,VLOOKUP($BO57,参照データ!$C$28:$I$41,6,0),"")</f>
        <v/>
      </c>
      <c r="BU57" s="179" t="str">
        <f>IF($O57=$BI$12,VLOOKUP($BO57,参照データ!$C$28:$I$41,7,0),"")</f>
        <v/>
      </c>
      <c r="BV57" s="178" t="str">
        <f>IF($J57=$BI$13,VLOOKUP($BO57,参照データ!$C$28:$I$41,2,0),"")</f>
        <v/>
      </c>
      <c r="BW57" s="169" t="str">
        <f>IF($K57=$BI$13,VLOOKUP($BO57,参照データ!$C$28:$I$41,3,0),"")</f>
        <v/>
      </c>
      <c r="BX57" s="169" t="str">
        <f>IF($L57=$BI$13,VLOOKUP($BO57,参照データ!$C$28:$I$41,4,0),"")</f>
        <v/>
      </c>
      <c r="BY57" s="169" t="str">
        <f>IF($M57=$BI$13,VLOOKUP($BO57,参照データ!$C$28:$I$41,5,0),"")</f>
        <v/>
      </c>
      <c r="BZ57" s="169" t="str">
        <f>IF($N57=$BI$13,VLOOKUP($BO57,参照データ!$C$28:$I$41,6,0),"")</f>
        <v/>
      </c>
      <c r="CA57" s="179" t="str">
        <f>IF($O57=$BI$13,VLOOKUP($BO57,参照データ!$C$28:$I$41,7,0),"")</f>
        <v/>
      </c>
      <c r="CB57" s="271" t="str">
        <f t="shared" si="26"/>
        <v/>
      </c>
      <c r="CC57" s="177" t="str">
        <f>IF($Q57="入門",VLOOKUP($BO57,参照データ!$C$47:$U$60,2,0),IF($Q57="初級",VLOOKUP($BO57,参照データ!$C$47:$U$60,3,0),IF($Q57="中級",VLOOKUP($BO57,参照データ!$C$47:$U$60,4,0),IF($Q57="上級",VLOOKUP($BO57,参照データ!$C$47:$U$60,5,0),""))))</f>
        <v/>
      </c>
      <c r="CD57" s="177" t="str">
        <f>IF($R57="初級",VLOOKUP($BO57,参照データ!$C$47:$U$60,6,0),IF($R57="中級",VLOOKUP($BO57,参照データ!$C$47:$U$60,7,0),IF($R57="上級",VLOOKUP($BO57,参照データ!$C$47:$U$60,8,0),"")))</f>
        <v/>
      </c>
      <c r="CE57" s="177" t="str">
        <f>IF($S57="初級",VLOOKUP($BO57,参照データ!$C$47:$U$60,9,0),IF($S57="上級",VLOOKUP($BO57,参照データ!$C$47:$U$60,10,0),""))</f>
        <v/>
      </c>
      <c r="CF57" s="177" t="str">
        <f>IF($T57="初級",VLOOKUP($BO57,参照データ!$C$47:$U$60,11,0),IF($T57="中級",VLOOKUP($BO57,参照データ!$C$47:$U$60,12,0),IF($T57="上級",VLOOKUP($BO57,参照データ!$C$47:$U$60,13,0),"")))</f>
        <v/>
      </c>
      <c r="CG57" s="177" t="str">
        <f>IF($U57="初級",VLOOKUP($BO57,参照データ!$C$47:$U$60,14,0),IF($U57="中級",VLOOKUP($BO57,参照データ!$C$47:$U$60,15,0),IF($U57="上級",VLOOKUP($BO57,参照データ!$C$47:$U$60,16,0),"")))</f>
        <v/>
      </c>
      <c r="CH57" s="55" t="str">
        <f t="shared" si="5"/>
        <v/>
      </c>
      <c r="CI57" s="55" t="str">
        <f>IF($V57="初級",VLOOKUP($BO57,参照データ!$C$47:$U$60,17,0),IF($V57="中級",VLOOKUP($BO57,参照データ!$C$47:$U$60,18,0),IF($V57="上級",VLOOKUP($BO57,参照データ!$C$47:$U$60,19,0),"")))</f>
        <v/>
      </c>
      <c r="CJ57" s="868"/>
      <c r="CK57" s="73" t="s">
        <v>281</v>
      </c>
      <c r="CL57" s="150" t="str">
        <f t="shared" si="6"/>
        <v/>
      </c>
      <c r="CM57" s="872"/>
      <c r="CO57" s="61">
        <f>IF(AND($BJ57&gt;=参照データ!$C$71,$BJ57&lt;=参照データ!$C$69),1,IF(AND($BJ57&gt;=参照データ!$C$74,$BJ57&lt;=参照データ!$C$72),2,IF(AND($BJ57&gt;=参照データ!$C$77,$BJ57&lt;=参照データ!$C$75),3,IF(AND($BJ57&gt;=参照データ!$C$80,$BJ57&lt;=参照データ!$C$78),4,IF(AND($BJ57&gt;=参照データ!$C$83,$BJ57&lt;=参照データ!$C$81),5,IF(AND($BJ57&gt;0,$BJ57&lt;=参照データ!$C$84),6,""))))))</f>
        <v>5</v>
      </c>
      <c r="CP57" s="160" t="str">
        <f>IF($Y57="オープン",(VLOOKUP($CO57,参照データ!$D$69:$J$86,2,0)),"")</f>
        <v/>
      </c>
      <c r="CQ57" s="79" t="str">
        <f t="shared" si="27"/>
        <v/>
      </c>
      <c r="CR57" s="78" t="str">
        <f>IF($AA57="オープン",(VLOOKUP($CO57,参照データ!$D$69:$J$86,3,0)),"")</f>
        <v/>
      </c>
      <c r="CS57" s="79" t="str">
        <f t="shared" si="28"/>
        <v/>
      </c>
      <c r="CT57" s="78" t="str">
        <f>IF($AC57="オープン",(VLOOKUP($CO57,参照データ!$D$69:$J$86,4,0)),"")</f>
        <v/>
      </c>
      <c r="CU57" s="79" t="str">
        <f t="shared" si="29"/>
        <v/>
      </c>
      <c r="CV57" s="78" t="str">
        <f>IF($AE57="オープン",(VLOOKUP($CO57,参照データ!$D$69:$J$86,5,0)),"")</f>
        <v/>
      </c>
      <c r="CW57" s="79" t="str">
        <f t="shared" si="7"/>
        <v/>
      </c>
      <c r="CX57" s="78" t="str">
        <f>IF($AG57="オープン",(VLOOKUP($CO57,参照データ!$D$69:$J$86,6,0)),"")</f>
        <v/>
      </c>
      <c r="CY57" s="79" t="str">
        <f t="shared" si="30"/>
        <v/>
      </c>
      <c r="CZ57" s="38" t="str">
        <f t="shared" si="31"/>
        <v/>
      </c>
      <c r="DA57" s="37" t="str">
        <f t="shared" si="32"/>
        <v/>
      </c>
      <c r="DB57" s="79" t="str">
        <f t="shared" si="33"/>
        <v/>
      </c>
      <c r="DC57" s="858"/>
      <c r="DD57" s="85" t="s">
        <v>131</v>
      </c>
      <c r="DE57" s="86" t="str">
        <f t="shared" si="34"/>
        <v/>
      </c>
      <c r="DF57" s="860"/>
      <c r="DG57" s="350" t="str">
        <f t="shared" ref="DG57" si="140">$DG56</f>
        <v/>
      </c>
      <c r="DH57" s="523">
        <f>IF(AND($BJ57&gt;=参照データ!$C$130,$BJ57&lt;=参照データ!$C$128),1,IF(AND($BJ57&gt;=参照データ!$C$133,$BJ57&lt;=参照データ!$C$131),2,IF(AND($BJ57&gt;=参照データ!$C$139,$BJ57&lt;=参照データ!$C$137),3,IF(AND($BJ57&gt;0,$BJ57&lt;=参照データ!$C$140),4,""))))</f>
        <v>1</v>
      </c>
      <c r="DI57" s="523">
        <f t="shared" si="35"/>
        <v>7</v>
      </c>
      <c r="DJ57" s="523" t="str">
        <f t="shared" si="36"/>
        <v/>
      </c>
      <c r="DK57" s="524" t="str">
        <f>IF($AN57="","",IF(AND($AN57="○",$BK57="男子"),VLOOKUP($DI57,参照データ!$D$128:$J$145,3,FALSE),VLOOKUP($DH57,参照データ!$D$128:$J$145,3,FALSE)))</f>
        <v/>
      </c>
      <c r="DL57" s="525" t="str">
        <f t="shared" si="37"/>
        <v/>
      </c>
      <c r="DM57" s="524" t="str">
        <f>IF($AP57="","",IF(AND($AP57="○",$BK57="男子"),VLOOKUP($DI57,参照データ!$D$128:$J$145,4,FALSE),VLOOKUP($DH57,参照データ!$D$128:$J$145,4,FALSE)))</f>
        <v/>
      </c>
      <c r="DN57" s="525" t="str">
        <f t="shared" si="38"/>
        <v/>
      </c>
      <c r="DO57" s="524" t="str">
        <f>IF($AR57="","",IF(AND($AR57="○",$BK57="男子"),VLOOKUP($DI57,参照データ!$D$128:$J$145,5,FALSE),VLOOKUP($DH57,参照データ!$D$128:$J$145,5,FALSE)))</f>
        <v/>
      </c>
      <c r="DP57" s="525" t="str">
        <f t="shared" si="39"/>
        <v/>
      </c>
      <c r="DQ57" s="524" t="str">
        <f>IF($AT57="","",IF(AND($AT57="○",$BK57="男子"),VLOOKUP($DI57,参照データ!$D$128:$J$145,6,FALSE),VLOOKUP($DH57,参照データ!$D$128:$J$145,6,FALSE)))</f>
        <v/>
      </c>
      <c r="DR57" s="525" t="str">
        <f t="shared" si="40"/>
        <v/>
      </c>
      <c r="DS57" s="526" t="str">
        <f t="shared" si="41"/>
        <v/>
      </c>
      <c r="DT57" s="527" t="str">
        <f t="shared" si="42"/>
        <v/>
      </c>
      <c r="DU57" s="528" t="str">
        <f t="shared" si="43"/>
        <v/>
      </c>
      <c r="DV57" s="983"/>
      <c r="DW57" s="531" t="s">
        <v>131</v>
      </c>
      <c r="DX57" s="532" t="str">
        <f t="shared" si="92"/>
        <v/>
      </c>
      <c r="DY57" s="994"/>
      <c r="DZ57" s="692" t="str">
        <f>$DZ56</f>
        <v/>
      </c>
      <c r="EA57" s="526" t="str">
        <f t="shared" si="85"/>
        <v/>
      </c>
      <c r="EB57" s="527" t="str">
        <f t="shared" si="86"/>
        <v/>
      </c>
      <c r="EC57" s="528" t="str">
        <f t="shared" si="87"/>
        <v/>
      </c>
      <c r="ED57" s="983"/>
      <c r="EE57" s="531" t="s">
        <v>131</v>
      </c>
      <c r="EF57" s="531" t="str">
        <f t="shared" si="88"/>
        <v/>
      </c>
      <c r="EG57" s="532" t="str">
        <f>IF(SUM(EF56:EF57)&lt;24,"",IF(SUM(EF56:EF57)&gt;=36,3,2))</f>
        <v/>
      </c>
      <c r="EH57" s="994"/>
      <c r="EI57" s="527" t="str">
        <f>$EI56</f>
        <v/>
      </c>
      <c r="EJ57" s="555" t="str">
        <f t="shared" si="13"/>
        <v/>
      </c>
      <c r="EK57" s="556" t="str">
        <f t="shared" si="44"/>
        <v/>
      </c>
      <c r="EL57" s="846"/>
      <c r="EM57" s="561" t="s">
        <v>817</v>
      </c>
      <c r="EN57" s="562" t="str">
        <f t="shared" si="45"/>
        <v/>
      </c>
      <c r="EO57" s="849"/>
      <c r="EP57" s="555" t="str">
        <f t="shared" si="115"/>
        <v/>
      </c>
      <c r="EQ57" s="556" t="str">
        <f t="shared" si="46"/>
        <v/>
      </c>
      <c r="ER57" s="846"/>
      <c r="ES57" s="561" t="s">
        <v>817</v>
      </c>
      <c r="ET57" s="562" t="str">
        <f t="shared" si="47"/>
        <v/>
      </c>
      <c r="EU57" s="849"/>
      <c r="EV57" s="38" t="str">
        <f t="shared" si="116"/>
        <v/>
      </c>
      <c r="EW57" s="552" t="str">
        <f t="shared" si="48"/>
        <v/>
      </c>
      <c r="EX57" s="833"/>
      <c r="EY57" s="559" t="s">
        <v>837</v>
      </c>
      <c r="EZ57" s="560" t="str">
        <f t="shared" si="49"/>
        <v/>
      </c>
      <c r="FA57" s="835"/>
      <c r="FB57" t="str">
        <f>IF($FC57="","",DATEDIF($BJ57,参照データ!$D$19,"Y"))</f>
        <v/>
      </c>
      <c r="FC57" s="298" t="str">
        <f>IFERROR(IF($BK57="男子",VLOOKUP($FJ57,参照データ!$D$92:$E$118,2,0),$FJ57),0)</f>
        <v/>
      </c>
      <c r="FD57" s="92" t="str">
        <f>IF($Y57="選手権",(VLOOKUP($FC57,参照データ!$D$92:$K$121,3,0)),"")</f>
        <v/>
      </c>
      <c r="FE57" s="93" t="str">
        <f t="shared" si="117"/>
        <v/>
      </c>
      <c r="FF57" s="92" t="str">
        <f>IF($AA57="選手権",(VLOOKUP($FC57,参照データ!$D$92:$K$121,4,0)),"")</f>
        <v/>
      </c>
      <c r="FG57" s="93" t="str">
        <f t="shared" si="118"/>
        <v/>
      </c>
      <c r="FH57" s="92" t="str">
        <f>IF($AC57="選手権",(VLOOKUP($FC57,参照データ!$D$92:$K$121,5,0)),"")</f>
        <v/>
      </c>
      <c r="FI57" s="93" t="str">
        <f t="shared" si="119"/>
        <v/>
      </c>
      <c r="FJ57" s="61" t="str">
        <f>IF(AND($BJ57&gt;=参照データ!$C$94,$BJ57&lt;=参照データ!$C$92),1,IF(AND($BJ57&gt;=参照データ!$C$97,$BJ57&lt;=参照データ!$C$95),2,IF(AND($BJ57&gt;=参照データ!$C$103,$BJ57&lt;=参照データ!$C$101),3,IF(AND($BJ57&gt;=参照データ!$C$109,$BJ57&lt;=参照データ!$C$107),4,IF(AND($BJ57&gt;=参照データ!$C$115,$BJ57&lt;=参照データ!$C$113),5,IF(AND($BJ57&gt;0,$BJ57&lt;=参照データ!$C$116),6,""))))))</f>
        <v/>
      </c>
      <c r="FK57" s="92" t="str">
        <f>IF($AE57="選手権",(VLOOKUP($FJ57,参照データ!$D$92:$K$121,6,0)),"")</f>
        <v/>
      </c>
      <c r="FL57" s="93" t="str">
        <f t="shared" si="19"/>
        <v/>
      </c>
      <c r="FM57" s="92" t="str">
        <f>IF($AG57="選手権",(VLOOKUP($FJ57,参照データ!$D$92:$K$121,7,0)),"")</f>
        <v/>
      </c>
      <c r="FN57" s="93" t="str">
        <f t="shared" si="50"/>
        <v/>
      </c>
      <c r="FO57" s="38" t="str">
        <f t="shared" si="51"/>
        <v/>
      </c>
      <c r="FP57" s="37" t="str">
        <f t="shared" si="52"/>
        <v/>
      </c>
      <c r="FQ57" s="93" t="str">
        <f t="shared" si="53"/>
        <v/>
      </c>
      <c r="FR57" s="976"/>
      <c r="FS57" s="99" t="s">
        <v>131</v>
      </c>
      <c r="FT57" s="100" t="str">
        <f t="shared" si="120"/>
        <v/>
      </c>
      <c r="FU57" s="978"/>
      <c r="FV57" s="356" t="str">
        <f t="shared" ref="FV57" si="141">$FV56</f>
        <v/>
      </c>
      <c r="FY57" s="40">
        <f>(COUNTIF($J57:$O57,"&lt;&gt;"))*参照データ!$E$3</f>
        <v>0</v>
      </c>
      <c r="FZ57" s="267" t="str">
        <f>IF($P57="○",参照データ!$E$4,"")</f>
        <v/>
      </c>
      <c r="GA57" s="19">
        <f>(SUM(COUNTIF($Q57:$U57,{"入門","初級"}))*参照データ!$E$9)+(SUM(COUNTIF($Q57:$U57,{"中級","上級"})*参照データ!$E$10))</f>
        <v>0</v>
      </c>
      <c r="GB57" s="19">
        <f>IFERROR(VLOOKUP($V57,参照データ!$D$9:$J$11,7,0),0)</f>
        <v>0</v>
      </c>
      <c r="GC57" s="19">
        <f>((COUNTIF($Y57:$AG57,"オープン"))*参照データ!$E$12)</f>
        <v>0</v>
      </c>
      <c r="GD57" s="19" t="str">
        <f>(IF($AI57="オープン",参照データ!$J$12,""))</f>
        <v/>
      </c>
      <c r="GE57" s="19">
        <f>(COUNTIF($AN57:$AU57,"○")*参照データ!$E$22)</f>
        <v>0</v>
      </c>
      <c r="GF57" s="19">
        <f>(COUNTIF($AV57:$BA57,"○")*参照データ!$I$22)</f>
        <v>0</v>
      </c>
      <c r="GI57" s="19">
        <f>((COUNTIF($Y57:$AG57,"選手権"))*参照データ!$E$13)</f>
        <v>0</v>
      </c>
      <c r="GJ57" s="19" t="str">
        <f>(IF($AI57="選手権",参照データ!$J$13,""))</f>
        <v/>
      </c>
      <c r="GK57" s="106">
        <f t="array" ref="GK57">SUM(IF(ISERROR(FY57:GJ57),0,(FY57:GJ57)))</f>
        <v>0</v>
      </c>
      <c r="GL57" s="19"/>
      <c r="GM57" s="19">
        <f t="shared" si="54"/>
        <v>0</v>
      </c>
      <c r="GN57" s="19">
        <f t="shared" si="55"/>
        <v>0</v>
      </c>
      <c r="GO57" s="19">
        <f t="shared" si="56"/>
        <v>0</v>
      </c>
      <c r="GP57" s="19">
        <f t="shared" si="121"/>
        <v>0</v>
      </c>
      <c r="GQ57" s="19">
        <f t="shared" si="57"/>
        <v>0</v>
      </c>
      <c r="GR57" s="19">
        <f t="shared" si="58"/>
        <v>0</v>
      </c>
      <c r="GS57" s="19">
        <f t="shared" si="59"/>
        <v>0</v>
      </c>
      <c r="GT57" s="19">
        <f t="shared" si="60"/>
        <v>0</v>
      </c>
      <c r="GU57" s="19">
        <f t="shared" si="61"/>
        <v>0</v>
      </c>
      <c r="GV57" t="str">
        <f t="shared" si="122"/>
        <v/>
      </c>
      <c r="GW57" t="str">
        <f t="shared" si="62"/>
        <v/>
      </c>
      <c r="GX57" t="str">
        <f t="shared" si="123"/>
        <v/>
      </c>
      <c r="GY57" t="str">
        <f t="shared" si="63"/>
        <v/>
      </c>
      <c r="GZ57" t="str">
        <f t="shared" si="124"/>
        <v/>
      </c>
    </row>
    <row r="58" spans="1:208" ht="18.75" customHeight="1" x14ac:dyDescent="0.15">
      <c r="A58">
        <v>47</v>
      </c>
      <c r="B58" s="15" t="str">
        <f>IF(D58="","",IF(D58="重複","",COUNTIF(B$12:$B57,"&gt;0")+1))</f>
        <v/>
      </c>
      <c r="C58" s="713"/>
      <c r="D58" s="185"/>
      <c r="E58" s="185"/>
      <c r="F58" s="36"/>
      <c r="G58" s="47"/>
      <c r="H58" s="402">
        <f t="shared" si="112"/>
        <v>0</v>
      </c>
      <c r="I58" s="201" t="str">
        <f>IF($BJ58=0,"",DATEDIF($BJ58,参照データ!$D$16,"Y"))</f>
        <v/>
      </c>
      <c r="J58" s="41"/>
      <c r="K58" s="41"/>
      <c r="L58" s="41"/>
      <c r="M58" s="41"/>
      <c r="N58" s="41"/>
      <c r="O58" s="49"/>
      <c r="P58" s="395"/>
      <c r="Q58" s="51"/>
      <c r="R58" s="289"/>
      <c r="S58" s="289"/>
      <c r="T58" s="289"/>
      <c r="U58" s="290"/>
      <c r="V58" s="293"/>
      <c r="W58" s="295"/>
      <c r="Y58" s="446"/>
      <c r="Z58" s="396" t="str">
        <f>IF($Y58="オープン",VLOOKUP($CO58,参照データ!$D$69:$M$86,9,0),IF($Y58="選手権",VLOOKUP($FC58,参照データ!$D$92:$O$121,10,0),""))</f>
        <v/>
      </c>
      <c r="AA58" s="446"/>
      <c r="AB58" s="666" t="str">
        <f>IF($AA58="オープン",VLOOKUP($CO58,参照データ!$D$69:$M$86,10,0),IF($AA58="選手権",VLOOKUP($FC58,参照データ!$D$92:$O$121,11,0),""))</f>
        <v/>
      </c>
      <c r="AC58" s="669"/>
      <c r="AD58" s="396" t="str">
        <f>IF($AC58="オープン",VLOOKUP($CO58,参照データ!$D$69:$M$86,10,0),IF($AC58="選手権",VLOOKUP($FC58,参照データ!$D$92:$O$121,11,0),""))</f>
        <v/>
      </c>
      <c r="AE58" s="446"/>
      <c r="AF58" s="396" t="str">
        <f>IF($AE58="オープン",VLOOKUP($CO58,参照データ!$D$69:$M$86,10,0),IF($AE58="選手権",VLOOKUP($FJ58,参照データ!$D$92:$O$121,12,0),""))</f>
        <v/>
      </c>
      <c r="AG58" s="446"/>
      <c r="AH58" s="396" t="str">
        <f>IF($AG58="オープン",VLOOKUP($CO58,参照データ!$D$69:$M$86,10,0),IF($AG58="選手権",VLOOKUP($FJ58,参照データ!$D$92:$O$121,12,0),""))</f>
        <v/>
      </c>
      <c r="AI58" s="446"/>
      <c r="AJ58" s="449"/>
      <c r="AK58" s="396" t="str">
        <f t="shared" si="113"/>
        <v/>
      </c>
      <c r="AL58" s="587"/>
      <c r="AM58" s="588" t="str">
        <f>IF($BJ58=0,"",DATEDIF($BJ58,参照データ!$D$17,"Y"))</f>
        <v/>
      </c>
      <c r="AN58" s="450"/>
      <c r="AO58" s="591" t="str">
        <f>IF(AN58="","",IF($BK58="男子",VLOOKUP($DI58,参照データ!$D$128:$M$145,10,FALSE),VLOOKUP($DH58,参照データ!$D$128:$M$145,10,FALSE)))</f>
        <v/>
      </c>
      <c r="AP58" s="450"/>
      <c r="AQ58" s="591" t="str">
        <f>IF(AP58="","",IF($BK58="男子",VLOOKUP($DI58,参照データ!$D$128:$M$145,10,FALSE),VLOOKUP($DH58,参照データ!$D$128:$M$145,10,FALSE)))</f>
        <v/>
      </c>
      <c r="AR58" s="450"/>
      <c r="AS58" s="591" t="str">
        <f>IF(AR58="","",IF($BK58="男子",VLOOKUP($DI58,参照データ!$D$128:$M$145,10,FALSE),VLOOKUP($DH58,参照データ!$D$128:$M$145,10,FALSE)))</f>
        <v/>
      </c>
      <c r="AT58" s="450"/>
      <c r="AU58" s="591" t="str">
        <f>IF(AT58="","",IF($BK58="男子",VLOOKUP($DI58,参照データ!$D$128:$M$145,10,FALSE),VLOOKUP($DH58,参照データ!$D$128:$M$145,10,FALSE)))</f>
        <v/>
      </c>
      <c r="AV58" s="448"/>
      <c r="AW58" s="448"/>
      <c r="AX58" s="585" t="str">
        <f t="shared" si="25"/>
        <v/>
      </c>
      <c r="AY58" s="448"/>
      <c r="AZ58" s="448"/>
      <c r="BA58" s="585" t="str">
        <f t="shared" si="83"/>
        <v/>
      </c>
      <c r="BB58" s="677"/>
      <c r="BC58" s="724"/>
      <c r="BD58" s="640"/>
      <c r="BE58" s="482"/>
      <c r="BF58" s="365"/>
      <c r="BG58" s="366"/>
      <c r="BJ58">
        <f t="shared" si="75"/>
        <v>0</v>
      </c>
      <c r="BK58" t="str">
        <f t="shared" si="65"/>
        <v/>
      </c>
      <c r="BL58" s="146"/>
      <c r="BO58" s="61" t="str">
        <f>IF($BJ58=0,"",IF(AND($I58&gt;=6,$I58&lt;=19),VLOOKUP($I58,参照データ!$B$28:$C$41,2,0),IF($I58&lt;6,6,19)))</f>
        <v/>
      </c>
      <c r="BP58" s="178" t="str">
        <f>IF($J58=$BI$12,VLOOKUP($BO58,参照データ!$C$28:$I$41,2,0),"")</f>
        <v/>
      </c>
      <c r="BQ58" s="169" t="str">
        <f>IF($K58=$BI$12,VLOOKUP($BO58,参照データ!$C$28:$I$41,3,0),"")</f>
        <v/>
      </c>
      <c r="BR58" s="169" t="str">
        <f>IF($L58=$BI$12,VLOOKUP($BO58,参照データ!$C$28:$I$41,4,0),"")</f>
        <v/>
      </c>
      <c r="BS58" s="169" t="str">
        <f>IF($M58=$BI$12,VLOOKUP($BO58,参照データ!$C$28:$I$41,5,0),"")</f>
        <v/>
      </c>
      <c r="BT58" s="169" t="str">
        <f>IF($N58=$BI$12,VLOOKUP($BO58,参照データ!$C$28:$I$41,6,0),"")</f>
        <v/>
      </c>
      <c r="BU58" s="179" t="str">
        <f>IF($O58=$BI$12,VLOOKUP($BO58,参照データ!$C$28:$I$41,7,0),"")</f>
        <v/>
      </c>
      <c r="BV58" s="178" t="str">
        <f>IF($J58=$BI$13,VLOOKUP($BO58,参照データ!$C$28:$I$41,2,0),"")</f>
        <v/>
      </c>
      <c r="BW58" s="169" t="str">
        <f>IF($K58=$BI$13,VLOOKUP($BO58,参照データ!$C$28:$I$41,3,0),"")</f>
        <v/>
      </c>
      <c r="BX58" s="169" t="str">
        <f>IF($L58=$BI$13,VLOOKUP($BO58,参照データ!$C$28:$I$41,4,0),"")</f>
        <v/>
      </c>
      <c r="BY58" s="169" t="str">
        <f>IF($M58=$BI$13,VLOOKUP($BO58,参照データ!$C$28:$I$41,5,0),"")</f>
        <v/>
      </c>
      <c r="BZ58" s="169" t="str">
        <f>IF($N58=$BI$13,VLOOKUP($BO58,参照データ!$C$28:$I$41,6,0),"")</f>
        <v/>
      </c>
      <c r="CA58" s="179" t="str">
        <f>IF($O58=$BI$13,VLOOKUP($BO58,参照データ!$C$28:$I$41,7,0),"")</f>
        <v/>
      </c>
      <c r="CB58" s="271" t="str">
        <f t="shared" si="26"/>
        <v/>
      </c>
      <c r="CC58" s="177" t="str">
        <f>IF($Q58="入門",VLOOKUP($BO58,参照データ!$C$47:$U$60,2,0),IF($Q58="初級",VLOOKUP($BO58,参照データ!$C$47:$U$60,3,0),IF($Q58="中級",VLOOKUP($BO58,参照データ!$C$47:$U$60,4,0),IF($Q58="上級",VLOOKUP($BO58,参照データ!$C$47:$U$60,5,0),""))))</f>
        <v/>
      </c>
      <c r="CD58" s="177" t="str">
        <f>IF($R58="初級",VLOOKUP($BO58,参照データ!$C$47:$U$60,6,0),IF($R58="中級",VLOOKUP($BO58,参照データ!$C$47:$U$60,7,0),IF($R58="上級",VLOOKUP($BO58,参照データ!$C$47:$U$60,8,0),"")))</f>
        <v/>
      </c>
      <c r="CE58" s="177" t="str">
        <f>IF($S58="初級",VLOOKUP($BO58,参照データ!$C$47:$U$60,9,0),IF($S58="上級",VLOOKUP($BO58,参照データ!$C$47:$U$60,10,0),""))</f>
        <v/>
      </c>
      <c r="CF58" s="177" t="str">
        <f>IF($T58="初級",VLOOKUP($BO58,参照データ!$C$47:$U$60,11,0),IF($T58="中級",VLOOKUP($BO58,参照データ!$C$47:$U$60,12,0),IF($T58="上級",VLOOKUP($BO58,参照データ!$C$47:$U$60,13,0),"")))</f>
        <v/>
      </c>
      <c r="CG58" s="177" t="str">
        <f>IF($U58="初級",VLOOKUP($BO58,参照データ!$C$47:$U$60,14,0),IF($U58="中級",VLOOKUP($BO58,参照データ!$C$47:$U$60,15,0),IF($U58="上級",VLOOKUP($BO58,参照データ!$C$47:$U$60,16,0),"")))</f>
        <v/>
      </c>
      <c r="CH58" s="55" t="str">
        <f t="shared" si="5"/>
        <v/>
      </c>
      <c r="CI58" s="55" t="str">
        <f>IF($V58="初級",VLOOKUP($BO58,参照データ!$C$47:$U$60,17,0),IF($V58="中級",VLOOKUP($BO58,参照データ!$C$47:$U$60,18,0),IF($V58="上級",VLOOKUP($BO58,参照データ!$C$47:$U$60,19,0),"")))</f>
        <v/>
      </c>
      <c r="CJ58" s="867">
        <v>24</v>
      </c>
      <c r="CK58" s="74" t="s">
        <v>282</v>
      </c>
      <c r="CL58" s="151" t="str">
        <f t="shared" si="6"/>
        <v/>
      </c>
      <c r="CM58" s="871" t="str">
        <f t="shared" ref="CM58" si="142">IF(OR($CL58="",$CL59=""),"",IF($CL58&gt;$CL59,$CL58,$CL59))</f>
        <v/>
      </c>
      <c r="CO58" s="61">
        <f>IF(AND($BJ58&gt;=参照データ!$C$71,$BJ58&lt;=参照データ!$C$69),1,IF(AND($BJ58&gt;=参照データ!$C$74,$BJ58&lt;=参照データ!$C$72),2,IF(AND($BJ58&gt;=参照データ!$C$77,$BJ58&lt;=参照データ!$C$75),3,IF(AND($BJ58&gt;=参照データ!$C$80,$BJ58&lt;=参照データ!$C$78),4,IF(AND($BJ58&gt;=参照データ!$C$83,$BJ58&lt;=参照データ!$C$81),5,IF(AND($BJ58&gt;0,$BJ58&lt;=参照データ!$C$84),6,""))))))</f>
        <v>5</v>
      </c>
      <c r="CP58" s="160" t="str">
        <f>IF($Y58="オープン",(VLOOKUP($CO58,参照データ!$D$69:$J$86,2,0)),"")</f>
        <v/>
      </c>
      <c r="CQ58" s="79" t="str">
        <f t="shared" si="27"/>
        <v/>
      </c>
      <c r="CR58" s="78" t="str">
        <f>IF($AA58="オープン",(VLOOKUP($CO58,参照データ!$D$69:$J$86,3,0)),"")</f>
        <v/>
      </c>
      <c r="CS58" s="79" t="str">
        <f t="shared" si="28"/>
        <v/>
      </c>
      <c r="CT58" s="78" t="str">
        <f>IF($AC58="オープン",(VLOOKUP($CO58,参照データ!$D$69:$J$86,4,0)),"")</f>
        <v/>
      </c>
      <c r="CU58" s="79" t="str">
        <f t="shared" si="29"/>
        <v/>
      </c>
      <c r="CV58" s="78" t="str">
        <f>IF($AE58="オープン",(VLOOKUP($CO58,参照データ!$D$69:$J$86,5,0)),"")</f>
        <v/>
      </c>
      <c r="CW58" s="79" t="str">
        <f t="shared" si="7"/>
        <v/>
      </c>
      <c r="CX58" s="78" t="str">
        <f>IF($AG58="オープン",(VLOOKUP($CO58,参照データ!$D$69:$J$86,6,0)),"")</f>
        <v/>
      </c>
      <c r="CY58" s="79" t="str">
        <f t="shared" si="30"/>
        <v/>
      </c>
      <c r="CZ58" s="38" t="str">
        <f t="shared" si="31"/>
        <v/>
      </c>
      <c r="DA58" s="37" t="str">
        <f t="shared" si="32"/>
        <v/>
      </c>
      <c r="DB58" s="79" t="str">
        <f t="shared" si="33"/>
        <v/>
      </c>
      <c r="DC58" s="857">
        <v>24</v>
      </c>
      <c r="DD58" s="87" t="s">
        <v>132</v>
      </c>
      <c r="DE58" s="88" t="str">
        <f t="shared" si="34"/>
        <v/>
      </c>
      <c r="DF58" s="859" t="e">
        <f>IF($DE58&gt;$DE59,VLOOKUP($DE58,参照データ!$D$69:$J$86,7,0),VLOOKUP($DE59,参照データ!$D$69:$J$86,7,0))</f>
        <v>#N/A</v>
      </c>
      <c r="DG58" s="350" t="str">
        <f>IFERROR(VLOOKUP($DF58,参照データ!$J$69:$M$86,4,0),"")</f>
        <v/>
      </c>
      <c r="DH58" s="523">
        <f>IF(AND($BJ58&gt;=参照データ!$C$130,$BJ58&lt;=参照データ!$C$128),1,IF(AND($BJ58&gt;=参照データ!$C$133,$BJ58&lt;=参照データ!$C$131),2,IF(AND($BJ58&gt;=参照データ!$C$139,$BJ58&lt;=参照データ!$C$137),3,IF(AND($BJ58&gt;0,$BJ58&lt;=参照データ!$C$140),4,""))))</f>
        <v>1</v>
      </c>
      <c r="DI58" s="523">
        <f t="shared" si="35"/>
        <v>7</v>
      </c>
      <c r="DJ58" s="523" t="str">
        <f t="shared" si="36"/>
        <v/>
      </c>
      <c r="DK58" s="524" t="str">
        <f>IF($AN58="","",IF(AND($AN58="○",$BK58="男子"),VLOOKUP($DI58,参照データ!$D$128:$J$145,3,FALSE),VLOOKUP($DH58,参照データ!$D$128:$J$145,3,FALSE)))</f>
        <v/>
      </c>
      <c r="DL58" s="525" t="str">
        <f t="shared" si="37"/>
        <v/>
      </c>
      <c r="DM58" s="524" t="str">
        <f>IF($AP58="","",IF(AND($AP58="○",$BK58="男子"),VLOOKUP($DI58,参照データ!$D$128:$J$145,4,FALSE),VLOOKUP($DH58,参照データ!$D$128:$J$145,4,FALSE)))</f>
        <v/>
      </c>
      <c r="DN58" s="525" t="str">
        <f t="shared" si="38"/>
        <v/>
      </c>
      <c r="DO58" s="524" t="str">
        <f>IF($AR58="","",IF(AND($AR58="○",$BK58="男子"),VLOOKUP($DI58,参照データ!$D$128:$J$145,5,FALSE),VLOOKUP($DH58,参照データ!$D$128:$J$145,5,FALSE)))</f>
        <v/>
      </c>
      <c r="DP58" s="525" t="str">
        <f t="shared" si="39"/>
        <v/>
      </c>
      <c r="DQ58" s="524" t="str">
        <f>IF($AT58="","",IF(AND($AT58="○",$BK58="男子"),VLOOKUP($DI58,参照データ!$D$128:$J$145,6,FALSE),VLOOKUP($DH58,参照データ!$D$128:$J$145,6,FALSE)))</f>
        <v/>
      </c>
      <c r="DR58" s="525" t="str">
        <f t="shared" si="40"/>
        <v/>
      </c>
      <c r="DS58" s="526" t="str">
        <f t="shared" si="41"/>
        <v/>
      </c>
      <c r="DT58" s="527" t="str">
        <f t="shared" si="42"/>
        <v/>
      </c>
      <c r="DU58" s="528" t="str">
        <f t="shared" si="43"/>
        <v/>
      </c>
      <c r="DV58" s="982">
        <v>24</v>
      </c>
      <c r="DW58" s="533" t="s">
        <v>132</v>
      </c>
      <c r="DX58" s="534" t="str">
        <f t="shared" si="92"/>
        <v/>
      </c>
      <c r="DY58" s="877" t="e">
        <f>IF($DX58&gt;$DX59,VLOOKUP($DX58,参照データ!$D$128:$K$145,7,0),VLOOKUP($DX59,参照データ!$D$128:$K$145,7,0))</f>
        <v>#N/A</v>
      </c>
      <c r="DZ58" s="692" t="str">
        <f>IFERROR(VLOOKUP($DY58,参照データ!$J$128:$N$145,5,0),"")</f>
        <v/>
      </c>
      <c r="EA58" s="526" t="str">
        <f t="shared" si="85"/>
        <v/>
      </c>
      <c r="EB58" s="527" t="str">
        <f t="shared" si="86"/>
        <v/>
      </c>
      <c r="EC58" s="528" t="str">
        <f t="shared" si="87"/>
        <v/>
      </c>
      <c r="ED58" s="982">
        <v>24</v>
      </c>
      <c r="EE58" s="533" t="s">
        <v>132</v>
      </c>
      <c r="EF58" s="533" t="str">
        <f t="shared" si="88"/>
        <v/>
      </c>
      <c r="EG58" s="534" t="str">
        <f>IF(SUM(EF58:EF59)&lt;24,"",IF(SUM(EF58:EF59)&gt;=36,3,2))</f>
        <v/>
      </c>
      <c r="EH58" s="877" t="e">
        <f>IF($EG58&gt;$EG59,VLOOKUP($EG58,参照データ!$D$128:$K$145,8,0),VLOOKUP($EG59,参照データ!$D$128:$K$145,8,0))</f>
        <v>#N/A</v>
      </c>
      <c r="EI58" s="527" t="str">
        <f>IFERROR(VLOOKUP($EH58,参照データ!$K$128:$N$145,4,0),"")</f>
        <v/>
      </c>
      <c r="EJ58" s="555" t="str">
        <f t="shared" si="13"/>
        <v/>
      </c>
      <c r="EK58" s="556" t="str">
        <f t="shared" si="44"/>
        <v/>
      </c>
      <c r="EL58" s="846"/>
      <c r="EM58" s="561" t="s">
        <v>818</v>
      </c>
      <c r="EN58" s="562" t="str">
        <f t="shared" si="45"/>
        <v/>
      </c>
      <c r="EO58" s="849"/>
      <c r="EP58" s="555" t="str">
        <f t="shared" si="115"/>
        <v/>
      </c>
      <c r="EQ58" s="556" t="str">
        <f t="shared" si="46"/>
        <v/>
      </c>
      <c r="ER58" s="846"/>
      <c r="ES58" s="561" t="s">
        <v>818</v>
      </c>
      <c r="ET58" s="562" t="str">
        <f t="shared" si="47"/>
        <v/>
      </c>
      <c r="EU58" s="849"/>
      <c r="EV58" s="38" t="str">
        <f t="shared" si="116"/>
        <v/>
      </c>
      <c r="EW58" s="552" t="str">
        <f t="shared" si="48"/>
        <v/>
      </c>
      <c r="EX58" s="833"/>
      <c r="EY58" s="559" t="s">
        <v>838</v>
      </c>
      <c r="EZ58" s="560" t="str">
        <f t="shared" si="49"/>
        <v/>
      </c>
      <c r="FA58" s="835"/>
      <c r="FB58" t="str">
        <f>IF($FC58="","",DATEDIF($BJ58,参照データ!$D$19,"Y"))</f>
        <v/>
      </c>
      <c r="FC58" s="298" t="str">
        <f>IFERROR(IF($BK58="男子",VLOOKUP($FJ58,参照データ!$D$92:$E$118,2,0),$FJ58),0)</f>
        <v/>
      </c>
      <c r="FD58" s="92" t="str">
        <f>IF($Y58="選手権",(VLOOKUP($FC58,参照データ!$D$92:$K$121,3,0)),"")</f>
        <v/>
      </c>
      <c r="FE58" s="93" t="str">
        <f t="shared" si="117"/>
        <v/>
      </c>
      <c r="FF58" s="92" t="str">
        <f>IF($AA58="選手権",(VLOOKUP($FC58,参照データ!$D$92:$K$121,4,0)),"")</f>
        <v/>
      </c>
      <c r="FG58" s="93" t="str">
        <f t="shared" si="118"/>
        <v/>
      </c>
      <c r="FH58" s="92" t="str">
        <f>IF($AC58="選手権",(VLOOKUP($FC58,参照データ!$D$92:$K$121,5,0)),"")</f>
        <v/>
      </c>
      <c r="FI58" s="93" t="str">
        <f t="shared" si="119"/>
        <v/>
      </c>
      <c r="FJ58" s="61" t="str">
        <f>IF(AND($BJ58&gt;=参照データ!$C$94,$BJ58&lt;=参照データ!$C$92),1,IF(AND($BJ58&gt;=参照データ!$C$97,$BJ58&lt;=参照データ!$C$95),2,IF(AND($BJ58&gt;=参照データ!$C$103,$BJ58&lt;=参照データ!$C$101),3,IF(AND($BJ58&gt;=参照データ!$C$109,$BJ58&lt;=参照データ!$C$107),4,IF(AND($BJ58&gt;=参照データ!$C$115,$BJ58&lt;=参照データ!$C$113),5,IF(AND($BJ58&gt;0,$BJ58&lt;=参照データ!$C$116),6,""))))))</f>
        <v/>
      </c>
      <c r="FK58" s="92" t="str">
        <f>IF($AE58="選手権",(VLOOKUP($FJ58,参照データ!$D$92:$K$121,6,0)),"")</f>
        <v/>
      </c>
      <c r="FL58" s="93" t="str">
        <f t="shared" si="19"/>
        <v/>
      </c>
      <c r="FM58" s="92" t="str">
        <f>IF($AG58="選手権",(VLOOKUP($FJ58,参照データ!$D$92:$K$121,7,0)),"")</f>
        <v/>
      </c>
      <c r="FN58" s="93" t="str">
        <f t="shared" si="50"/>
        <v/>
      </c>
      <c r="FO58" s="38" t="str">
        <f t="shared" si="51"/>
        <v/>
      </c>
      <c r="FP58" s="37" t="str">
        <f t="shared" si="52"/>
        <v/>
      </c>
      <c r="FQ58" s="93" t="str">
        <f t="shared" si="53"/>
        <v/>
      </c>
      <c r="FR58" s="979">
        <v>24</v>
      </c>
      <c r="FS58" s="101" t="s">
        <v>132</v>
      </c>
      <c r="FT58" s="102" t="str">
        <f t="shared" si="120"/>
        <v/>
      </c>
      <c r="FU58" s="980" t="e">
        <f>IF($FT58&gt;$FT59,VLOOKUP($FT58,参照データ!$D$92:$K$121,8,0),VLOOKUP($FT59,参照データ!$D$92:$K$121,8,0))</f>
        <v>#N/A</v>
      </c>
      <c r="FV58" s="356" t="str">
        <f>IFERROR(VLOOKUP($FU58,参照データ!$K$92:$O$121,5,0),"")</f>
        <v/>
      </c>
      <c r="FY58" s="40">
        <f>(COUNTIF($J58:$O58,"&lt;&gt;"))*参照データ!$E$3</f>
        <v>0</v>
      </c>
      <c r="FZ58" s="267" t="str">
        <f>IF($P58="○",参照データ!$E$4,"")</f>
        <v/>
      </c>
      <c r="GA58" s="19">
        <f>(SUM(COUNTIF($Q58:$U58,{"入門","初級"}))*参照データ!$E$9)+(SUM(COUNTIF($Q58:$U58,{"中級","上級"})*参照データ!$E$10))</f>
        <v>0</v>
      </c>
      <c r="GB58" s="19">
        <f>IFERROR(VLOOKUP($V58,参照データ!$D$9:$J$11,7,0),0)</f>
        <v>0</v>
      </c>
      <c r="GC58" s="19">
        <f>((COUNTIF($Y58:$AG58,"オープン"))*参照データ!$E$12)</f>
        <v>0</v>
      </c>
      <c r="GD58" s="19" t="str">
        <f>(IF($AI58="オープン",参照データ!$J$12,""))</f>
        <v/>
      </c>
      <c r="GE58" s="19">
        <f>(COUNTIF($AN58:$AU58,"○")*参照データ!$E$22)</f>
        <v>0</v>
      </c>
      <c r="GF58" s="19">
        <f>(COUNTIF($AV58:$BA58,"○")*参照データ!$I$22)</f>
        <v>0</v>
      </c>
      <c r="GI58" s="19">
        <f>((COUNTIF($Y58:$AG58,"選手権"))*参照データ!$E$13)</f>
        <v>0</v>
      </c>
      <c r="GJ58" s="19" t="str">
        <f>(IF($AI58="選手権",参照データ!$J$13,""))</f>
        <v/>
      </c>
      <c r="GK58" s="106">
        <f t="array" ref="GK58">SUM(IF(ISERROR(FY58:GJ58),0,(FY58:GJ58)))</f>
        <v>0</v>
      </c>
      <c r="GL58" s="19"/>
      <c r="GM58" s="19">
        <f t="shared" si="54"/>
        <v>0</v>
      </c>
      <c r="GN58" s="19">
        <f t="shared" si="55"/>
        <v>0</v>
      </c>
      <c r="GO58" s="19">
        <f t="shared" si="56"/>
        <v>0</v>
      </c>
      <c r="GP58" s="19">
        <f t="shared" si="121"/>
        <v>0</v>
      </c>
      <c r="GQ58" s="19">
        <f t="shared" si="57"/>
        <v>0</v>
      </c>
      <c r="GR58" s="19">
        <f t="shared" si="58"/>
        <v>0</v>
      </c>
      <c r="GS58" s="19">
        <f t="shared" si="59"/>
        <v>0</v>
      </c>
      <c r="GT58" s="19">
        <f t="shared" si="60"/>
        <v>0</v>
      </c>
      <c r="GU58" s="19">
        <f t="shared" si="61"/>
        <v>0</v>
      </c>
      <c r="GV58" t="str">
        <f t="shared" si="122"/>
        <v/>
      </c>
      <c r="GW58" t="str">
        <f t="shared" si="62"/>
        <v/>
      </c>
      <c r="GX58" t="str">
        <f t="shared" si="123"/>
        <v/>
      </c>
      <c r="GY58" t="str">
        <f t="shared" si="63"/>
        <v/>
      </c>
      <c r="GZ58" t="str">
        <f t="shared" si="124"/>
        <v/>
      </c>
    </row>
    <row r="59" spans="1:208" ht="18.75" customHeight="1" x14ac:dyDescent="0.15">
      <c r="A59">
        <v>48</v>
      </c>
      <c r="B59" s="15" t="str">
        <f>IF(D59="","",IF(D59="重複","",COUNTIF(B$12:$B58,"&gt;0")+1))</f>
        <v/>
      </c>
      <c r="C59" s="713"/>
      <c r="D59" s="185"/>
      <c r="E59" s="185"/>
      <c r="F59" s="36"/>
      <c r="G59" s="47"/>
      <c r="H59" s="402">
        <f t="shared" si="112"/>
        <v>0</v>
      </c>
      <c r="I59" s="201" t="str">
        <f>IF($BJ59=0,"",DATEDIF($BJ59,参照データ!$D$16,"Y"))</f>
        <v/>
      </c>
      <c r="J59" s="41"/>
      <c r="K59" s="41"/>
      <c r="L59" s="41"/>
      <c r="M59" s="41"/>
      <c r="N59" s="41"/>
      <c r="O59" s="49"/>
      <c r="P59" s="395"/>
      <c r="Q59" s="51"/>
      <c r="R59" s="289"/>
      <c r="S59" s="289"/>
      <c r="T59" s="289"/>
      <c r="U59" s="290"/>
      <c r="V59" s="293"/>
      <c r="W59" s="295"/>
      <c r="Y59" s="446"/>
      <c r="Z59" s="396" t="str">
        <f>IF($Y59="オープン",VLOOKUP($CO59,参照データ!$D$69:$M$86,9,0),IF($Y59="選手権",VLOOKUP($FC59,参照データ!$D$92:$O$121,10,0),""))</f>
        <v/>
      </c>
      <c r="AA59" s="446"/>
      <c r="AB59" s="666" t="str">
        <f>IF($AA59="オープン",VLOOKUP($CO59,参照データ!$D$69:$M$86,10,0),IF($AA59="選手権",VLOOKUP($FC59,参照データ!$D$92:$O$121,11,0),""))</f>
        <v/>
      </c>
      <c r="AC59" s="669"/>
      <c r="AD59" s="396" t="str">
        <f>IF($AC59="オープン",VLOOKUP($CO59,参照データ!$D$69:$M$86,10,0),IF($AC59="選手権",VLOOKUP($FC59,参照データ!$D$92:$O$121,11,0),""))</f>
        <v/>
      </c>
      <c r="AE59" s="446"/>
      <c r="AF59" s="396" t="str">
        <f>IF($AE59="オープン",VLOOKUP($CO59,参照データ!$D$69:$M$86,10,0),IF($AE59="選手権",VLOOKUP($FJ59,参照データ!$D$92:$O$121,12,0),""))</f>
        <v/>
      </c>
      <c r="AG59" s="446"/>
      <c r="AH59" s="396" t="str">
        <f>IF($AG59="オープン",VLOOKUP($CO59,参照データ!$D$69:$M$86,10,0),IF($AG59="選手権",VLOOKUP($FJ59,参照データ!$D$92:$O$121,12,0),""))</f>
        <v/>
      </c>
      <c r="AI59" s="446"/>
      <c r="AJ59" s="449"/>
      <c r="AK59" s="396" t="str">
        <f t="shared" si="113"/>
        <v/>
      </c>
      <c r="AL59" s="587"/>
      <c r="AM59" s="588" t="str">
        <f>IF($BJ59=0,"",DATEDIF($BJ59,参照データ!$D$17,"Y"))</f>
        <v/>
      </c>
      <c r="AN59" s="450"/>
      <c r="AO59" s="591" t="str">
        <f>IF(AN59="","",IF($BK59="男子",VLOOKUP($DI59,参照データ!$D$128:$M$145,10,FALSE),VLOOKUP($DH59,参照データ!$D$128:$M$145,10,FALSE)))</f>
        <v/>
      </c>
      <c r="AP59" s="450"/>
      <c r="AQ59" s="591" t="str">
        <f>IF(AP59="","",IF($BK59="男子",VLOOKUP($DI59,参照データ!$D$128:$M$145,10,FALSE),VLOOKUP($DH59,参照データ!$D$128:$M$145,10,FALSE)))</f>
        <v/>
      </c>
      <c r="AR59" s="450"/>
      <c r="AS59" s="591" t="str">
        <f>IF(AR59="","",IF($BK59="男子",VLOOKUP($DI59,参照データ!$D$128:$M$145,10,FALSE),VLOOKUP($DH59,参照データ!$D$128:$M$145,10,FALSE)))</f>
        <v/>
      </c>
      <c r="AT59" s="450"/>
      <c r="AU59" s="591" t="str">
        <f>IF(AT59="","",IF($BK59="男子",VLOOKUP($DI59,参照データ!$D$128:$M$145,10,FALSE),VLOOKUP($DH59,参照データ!$D$128:$M$145,10,FALSE)))</f>
        <v/>
      </c>
      <c r="AV59" s="448"/>
      <c r="AW59" s="448"/>
      <c r="AX59" s="585" t="str">
        <f t="shared" si="25"/>
        <v/>
      </c>
      <c r="AY59" s="448"/>
      <c r="AZ59" s="448"/>
      <c r="BA59" s="585" t="str">
        <f t="shared" si="83"/>
        <v/>
      </c>
      <c r="BB59" s="677"/>
      <c r="BC59" s="724"/>
      <c r="BD59" s="640"/>
      <c r="BE59" s="482"/>
      <c r="BF59" s="365"/>
      <c r="BG59" s="366"/>
      <c r="BJ59">
        <f t="shared" si="75"/>
        <v>0</v>
      </c>
      <c r="BK59" t="str">
        <f t="shared" si="65"/>
        <v/>
      </c>
      <c r="BL59" s="146"/>
      <c r="BO59" s="61" t="str">
        <f>IF($BJ59=0,"",IF(AND($I59&gt;=6,$I59&lt;=19),VLOOKUP($I59,参照データ!$B$28:$C$41,2,0),IF($I59&lt;6,6,19)))</f>
        <v/>
      </c>
      <c r="BP59" s="178" t="str">
        <f>IF($J59=$BI$12,VLOOKUP($BO59,参照データ!$C$28:$I$41,2,0),"")</f>
        <v/>
      </c>
      <c r="BQ59" s="169" t="str">
        <f>IF($K59=$BI$12,VLOOKUP($BO59,参照データ!$C$28:$I$41,3,0),"")</f>
        <v/>
      </c>
      <c r="BR59" s="169" t="str">
        <f>IF($L59=$BI$12,VLOOKUP($BO59,参照データ!$C$28:$I$41,4,0),"")</f>
        <v/>
      </c>
      <c r="BS59" s="169" t="str">
        <f>IF($M59=$BI$12,VLOOKUP($BO59,参照データ!$C$28:$I$41,5,0),"")</f>
        <v/>
      </c>
      <c r="BT59" s="169" t="str">
        <f>IF($N59=$BI$12,VLOOKUP($BO59,参照データ!$C$28:$I$41,6,0),"")</f>
        <v/>
      </c>
      <c r="BU59" s="179" t="str">
        <f>IF($O59=$BI$12,VLOOKUP($BO59,参照データ!$C$28:$I$41,7,0),"")</f>
        <v/>
      </c>
      <c r="BV59" s="178" t="str">
        <f>IF($J59=$BI$13,VLOOKUP($BO59,参照データ!$C$28:$I$41,2,0),"")</f>
        <v/>
      </c>
      <c r="BW59" s="169" t="str">
        <f>IF($K59=$BI$13,VLOOKUP($BO59,参照データ!$C$28:$I$41,3,0),"")</f>
        <v/>
      </c>
      <c r="BX59" s="169" t="str">
        <f>IF($L59=$BI$13,VLOOKUP($BO59,参照データ!$C$28:$I$41,4,0),"")</f>
        <v/>
      </c>
      <c r="BY59" s="169" t="str">
        <f>IF($M59=$BI$13,VLOOKUP($BO59,参照データ!$C$28:$I$41,5,0),"")</f>
        <v/>
      </c>
      <c r="BZ59" s="169" t="str">
        <f>IF($N59=$BI$13,VLOOKUP($BO59,参照データ!$C$28:$I$41,6,0),"")</f>
        <v/>
      </c>
      <c r="CA59" s="179" t="str">
        <f>IF($O59=$BI$13,VLOOKUP($BO59,参照データ!$C$28:$I$41,7,0),"")</f>
        <v/>
      </c>
      <c r="CB59" s="271" t="str">
        <f t="shared" si="26"/>
        <v/>
      </c>
      <c r="CC59" s="177" t="str">
        <f>IF($Q59="入門",VLOOKUP($BO59,参照データ!$C$47:$U$60,2,0),IF($Q59="初級",VLOOKUP($BO59,参照データ!$C$47:$U$60,3,0),IF($Q59="中級",VLOOKUP($BO59,参照データ!$C$47:$U$60,4,0),IF($Q59="上級",VLOOKUP($BO59,参照データ!$C$47:$U$60,5,0),""))))</f>
        <v/>
      </c>
      <c r="CD59" s="177" t="str">
        <f>IF($R59="初級",VLOOKUP($BO59,参照データ!$C$47:$U$60,6,0),IF($R59="中級",VLOOKUP($BO59,参照データ!$C$47:$U$60,7,0),IF($R59="上級",VLOOKUP($BO59,参照データ!$C$47:$U$60,8,0),"")))</f>
        <v/>
      </c>
      <c r="CE59" s="177" t="str">
        <f>IF($S59="初級",VLOOKUP($BO59,参照データ!$C$47:$U$60,9,0),IF($S59="上級",VLOOKUP($BO59,参照データ!$C$47:$U$60,10,0),""))</f>
        <v/>
      </c>
      <c r="CF59" s="177" t="str">
        <f>IF($T59="初級",VLOOKUP($BO59,参照データ!$C$47:$U$60,11,0),IF($T59="中級",VLOOKUP($BO59,参照データ!$C$47:$U$60,12,0),IF($T59="上級",VLOOKUP($BO59,参照データ!$C$47:$U$60,13,0),"")))</f>
        <v/>
      </c>
      <c r="CG59" s="177" t="str">
        <f>IF($U59="初級",VLOOKUP($BO59,参照データ!$C$47:$U$60,14,0),IF($U59="中級",VLOOKUP($BO59,参照データ!$C$47:$U$60,15,0),IF($U59="上級",VLOOKUP($BO59,参照データ!$C$47:$U$60,16,0),"")))</f>
        <v/>
      </c>
      <c r="CH59" s="55" t="str">
        <f t="shared" si="5"/>
        <v/>
      </c>
      <c r="CI59" s="55" t="str">
        <f>IF($V59="初級",VLOOKUP($BO59,参照データ!$C$47:$U$60,17,0),IF($V59="中級",VLOOKUP($BO59,参照データ!$C$47:$U$60,18,0),IF($V59="上級",VLOOKUP($BO59,参照データ!$C$47:$U$60,19,0),"")))</f>
        <v/>
      </c>
      <c r="CJ59" s="868"/>
      <c r="CK59" s="73" t="s">
        <v>283</v>
      </c>
      <c r="CL59" s="150" t="str">
        <f t="shared" si="6"/>
        <v/>
      </c>
      <c r="CM59" s="872"/>
      <c r="CO59" s="61">
        <f>IF(AND($BJ59&gt;=参照データ!$C$71,$BJ59&lt;=参照データ!$C$69),1,IF(AND($BJ59&gt;=参照データ!$C$74,$BJ59&lt;=参照データ!$C$72),2,IF(AND($BJ59&gt;=参照データ!$C$77,$BJ59&lt;=参照データ!$C$75),3,IF(AND($BJ59&gt;=参照データ!$C$80,$BJ59&lt;=参照データ!$C$78),4,IF(AND($BJ59&gt;=参照データ!$C$83,$BJ59&lt;=参照データ!$C$81),5,IF(AND($BJ59&gt;0,$BJ59&lt;=参照データ!$C$84),6,""))))))</f>
        <v>5</v>
      </c>
      <c r="CP59" s="160" t="str">
        <f>IF($Y59="オープン",(VLOOKUP($CO59,参照データ!$D$69:$J$86,2,0)),"")</f>
        <v/>
      </c>
      <c r="CQ59" s="79" t="str">
        <f t="shared" si="27"/>
        <v/>
      </c>
      <c r="CR59" s="78" t="str">
        <f>IF($AA59="オープン",(VLOOKUP($CO59,参照データ!$D$69:$J$86,3,0)),"")</f>
        <v/>
      </c>
      <c r="CS59" s="79" t="str">
        <f t="shared" si="28"/>
        <v/>
      </c>
      <c r="CT59" s="78" t="str">
        <f>IF($AC59="オープン",(VLOOKUP($CO59,参照データ!$D$69:$J$86,4,0)),"")</f>
        <v/>
      </c>
      <c r="CU59" s="79" t="str">
        <f t="shared" si="29"/>
        <v/>
      </c>
      <c r="CV59" s="78" t="str">
        <f>IF($AE59="オープン",(VLOOKUP($CO59,参照データ!$D$69:$J$86,5,0)),"")</f>
        <v/>
      </c>
      <c r="CW59" s="79" t="str">
        <f t="shared" si="7"/>
        <v/>
      </c>
      <c r="CX59" s="78" t="str">
        <f>IF($AG59="オープン",(VLOOKUP($CO59,参照データ!$D$69:$J$86,6,0)),"")</f>
        <v/>
      </c>
      <c r="CY59" s="79" t="str">
        <f t="shared" si="30"/>
        <v/>
      </c>
      <c r="CZ59" s="38" t="str">
        <f t="shared" si="31"/>
        <v/>
      </c>
      <c r="DA59" s="37" t="str">
        <f t="shared" si="32"/>
        <v/>
      </c>
      <c r="DB59" s="79" t="str">
        <f t="shared" si="33"/>
        <v/>
      </c>
      <c r="DC59" s="858"/>
      <c r="DD59" s="85" t="s">
        <v>133</v>
      </c>
      <c r="DE59" s="86" t="str">
        <f t="shared" si="34"/>
        <v/>
      </c>
      <c r="DF59" s="860"/>
      <c r="DG59" s="350" t="str">
        <f t="shared" ref="DG59" si="143">$DG58</f>
        <v/>
      </c>
      <c r="DH59" s="523">
        <f>IF(AND($BJ59&gt;=参照データ!$C$130,$BJ59&lt;=参照データ!$C$128),1,IF(AND($BJ59&gt;=参照データ!$C$133,$BJ59&lt;=参照データ!$C$131),2,IF(AND($BJ59&gt;=参照データ!$C$139,$BJ59&lt;=参照データ!$C$137),3,IF(AND($BJ59&gt;0,$BJ59&lt;=参照データ!$C$140),4,""))))</f>
        <v>1</v>
      </c>
      <c r="DI59" s="523">
        <f t="shared" si="35"/>
        <v>7</v>
      </c>
      <c r="DJ59" s="523" t="str">
        <f t="shared" si="36"/>
        <v/>
      </c>
      <c r="DK59" s="524" t="str">
        <f>IF($AN59="","",IF(AND($AN59="○",$BK59="男子"),VLOOKUP($DI59,参照データ!$D$128:$J$145,3,FALSE),VLOOKUP($DH59,参照データ!$D$128:$J$145,3,FALSE)))</f>
        <v/>
      </c>
      <c r="DL59" s="525" t="str">
        <f t="shared" si="37"/>
        <v/>
      </c>
      <c r="DM59" s="524" t="str">
        <f>IF($AP59="","",IF(AND($AP59="○",$BK59="男子"),VLOOKUP($DI59,参照データ!$D$128:$J$145,4,FALSE),VLOOKUP($DH59,参照データ!$D$128:$J$145,4,FALSE)))</f>
        <v/>
      </c>
      <c r="DN59" s="525" t="str">
        <f t="shared" si="38"/>
        <v/>
      </c>
      <c r="DO59" s="524" t="str">
        <f>IF($AR59="","",IF(AND($AR59="○",$BK59="男子"),VLOOKUP($DI59,参照データ!$D$128:$J$145,5,FALSE),VLOOKUP($DH59,参照データ!$D$128:$J$145,5,FALSE)))</f>
        <v/>
      </c>
      <c r="DP59" s="525" t="str">
        <f t="shared" si="39"/>
        <v/>
      </c>
      <c r="DQ59" s="524" t="str">
        <f>IF($AT59="","",IF(AND($AT59="○",$BK59="男子"),VLOOKUP($DI59,参照データ!$D$128:$J$145,6,FALSE),VLOOKUP($DH59,参照データ!$D$128:$J$145,6,FALSE)))</f>
        <v/>
      </c>
      <c r="DR59" s="525" t="str">
        <f t="shared" si="40"/>
        <v/>
      </c>
      <c r="DS59" s="526" t="str">
        <f t="shared" si="41"/>
        <v/>
      </c>
      <c r="DT59" s="527" t="str">
        <f t="shared" si="42"/>
        <v/>
      </c>
      <c r="DU59" s="528" t="str">
        <f t="shared" si="43"/>
        <v/>
      </c>
      <c r="DV59" s="983"/>
      <c r="DW59" s="531" t="s">
        <v>133</v>
      </c>
      <c r="DX59" s="532" t="str">
        <f t="shared" si="92"/>
        <v/>
      </c>
      <c r="DY59" s="994"/>
      <c r="DZ59" s="692" t="str">
        <f>$DZ58</f>
        <v/>
      </c>
      <c r="EA59" s="526" t="str">
        <f t="shared" si="85"/>
        <v/>
      </c>
      <c r="EB59" s="527" t="str">
        <f t="shared" si="86"/>
        <v/>
      </c>
      <c r="EC59" s="528" t="str">
        <f t="shared" si="87"/>
        <v/>
      </c>
      <c r="ED59" s="983"/>
      <c r="EE59" s="531" t="s">
        <v>133</v>
      </c>
      <c r="EF59" s="531" t="str">
        <f t="shared" si="88"/>
        <v/>
      </c>
      <c r="EG59" s="532" t="str">
        <f>IF(SUM(EF58:EF59)&lt;24,"",IF(SUM(EF58:EF59)&gt;=36,3,2))</f>
        <v/>
      </c>
      <c r="EH59" s="994"/>
      <c r="EI59" s="527" t="str">
        <f>$EI58</f>
        <v/>
      </c>
      <c r="EJ59" s="555" t="str">
        <f t="shared" si="13"/>
        <v/>
      </c>
      <c r="EK59" s="556" t="str">
        <f t="shared" si="44"/>
        <v/>
      </c>
      <c r="EL59" s="846"/>
      <c r="EM59" s="561" t="s">
        <v>819</v>
      </c>
      <c r="EN59" s="562" t="str">
        <f t="shared" si="45"/>
        <v/>
      </c>
      <c r="EO59" s="849"/>
      <c r="EP59" s="555" t="str">
        <f t="shared" si="115"/>
        <v/>
      </c>
      <c r="EQ59" s="556" t="str">
        <f t="shared" si="46"/>
        <v/>
      </c>
      <c r="ER59" s="846"/>
      <c r="ES59" s="561" t="s">
        <v>819</v>
      </c>
      <c r="ET59" s="562" t="str">
        <f t="shared" si="47"/>
        <v/>
      </c>
      <c r="EU59" s="849"/>
      <c r="EV59" s="38" t="str">
        <f t="shared" si="116"/>
        <v/>
      </c>
      <c r="EW59" s="552" t="str">
        <f t="shared" si="48"/>
        <v/>
      </c>
      <c r="EX59" s="833"/>
      <c r="EY59" s="559" t="s">
        <v>839</v>
      </c>
      <c r="EZ59" s="560" t="str">
        <f t="shared" si="49"/>
        <v/>
      </c>
      <c r="FA59" s="835"/>
      <c r="FB59" t="str">
        <f>IF($FC59="","",DATEDIF($BJ59,参照データ!$D$19,"Y"))</f>
        <v/>
      </c>
      <c r="FC59" s="298" t="str">
        <f>IFERROR(IF($BK59="男子",VLOOKUP($FJ59,参照データ!$D$92:$E$118,2,0),$FJ59),0)</f>
        <v/>
      </c>
      <c r="FD59" s="92" t="str">
        <f>IF($Y59="選手権",(VLOOKUP($FC59,参照データ!$D$92:$K$121,3,0)),"")</f>
        <v/>
      </c>
      <c r="FE59" s="93" t="str">
        <f t="shared" si="117"/>
        <v/>
      </c>
      <c r="FF59" s="92" t="str">
        <f>IF($AA59="選手権",(VLOOKUP($FC59,参照データ!$D$92:$K$121,4,0)),"")</f>
        <v/>
      </c>
      <c r="FG59" s="93" t="str">
        <f t="shared" si="118"/>
        <v/>
      </c>
      <c r="FH59" s="92" t="str">
        <f>IF($AC59="選手権",(VLOOKUP($FC59,参照データ!$D$92:$K$121,5,0)),"")</f>
        <v/>
      </c>
      <c r="FI59" s="93" t="str">
        <f t="shared" si="119"/>
        <v/>
      </c>
      <c r="FJ59" s="61" t="str">
        <f>IF(AND($BJ59&gt;=参照データ!$C$94,$BJ59&lt;=参照データ!$C$92),1,IF(AND($BJ59&gt;=参照データ!$C$97,$BJ59&lt;=参照データ!$C$95),2,IF(AND($BJ59&gt;=参照データ!$C$103,$BJ59&lt;=参照データ!$C$101),3,IF(AND($BJ59&gt;=参照データ!$C$109,$BJ59&lt;=参照データ!$C$107),4,IF(AND($BJ59&gt;=参照データ!$C$115,$BJ59&lt;=参照データ!$C$113),5,IF(AND($BJ59&gt;0,$BJ59&lt;=参照データ!$C$116),6,""))))))</f>
        <v/>
      </c>
      <c r="FK59" s="92" t="str">
        <f>IF($AE59="選手権",(VLOOKUP($FJ59,参照データ!$D$92:$K$121,6,0)),"")</f>
        <v/>
      </c>
      <c r="FL59" s="93" t="str">
        <f t="shared" si="19"/>
        <v/>
      </c>
      <c r="FM59" s="92" t="str">
        <f>IF($AG59="選手権",(VLOOKUP($FJ59,参照データ!$D$92:$K$121,7,0)),"")</f>
        <v/>
      </c>
      <c r="FN59" s="93" t="str">
        <f t="shared" si="50"/>
        <v/>
      </c>
      <c r="FO59" s="38" t="str">
        <f t="shared" si="51"/>
        <v/>
      </c>
      <c r="FP59" s="37" t="str">
        <f t="shared" si="52"/>
        <v/>
      </c>
      <c r="FQ59" s="93" t="str">
        <f t="shared" si="53"/>
        <v/>
      </c>
      <c r="FR59" s="976"/>
      <c r="FS59" s="99" t="s">
        <v>133</v>
      </c>
      <c r="FT59" s="100" t="str">
        <f t="shared" si="120"/>
        <v/>
      </c>
      <c r="FU59" s="978"/>
      <c r="FV59" s="356" t="str">
        <f t="shared" ref="FV59" si="144">$FV58</f>
        <v/>
      </c>
      <c r="FY59" s="40">
        <f>(COUNTIF($J59:$O59,"&lt;&gt;"))*参照データ!$E$3</f>
        <v>0</v>
      </c>
      <c r="FZ59" s="267" t="str">
        <f>IF($P59="○",参照データ!$E$4,"")</f>
        <v/>
      </c>
      <c r="GA59" s="19">
        <f>(SUM(COUNTIF($Q59:$U59,{"入門","初級"}))*参照データ!$E$9)+(SUM(COUNTIF($Q59:$U59,{"中級","上級"})*参照データ!$E$10))</f>
        <v>0</v>
      </c>
      <c r="GB59" s="19">
        <f>IFERROR(VLOOKUP($V59,参照データ!$D$9:$J$11,7,0),0)</f>
        <v>0</v>
      </c>
      <c r="GC59" s="19">
        <f>((COUNTIF($Y59:$AG59,"オープン"))*参照データ!$E$12)</f>
        <v>0</v>
      </c>
      <c r="GD59" s="19" t="str">
        <f>(IF($AI59="オープン",参照データ!$J$12,""))</f>
        <v/>
      </c>
      <c r="GE59" s="19">
        <f>(COUNTIF($AN59:$AU59,"○")*参照データ!$E$22)</f>
        <v>0</v>
      </c>
      <c r="GF59" s="19">
        <f>(COUNTIF($AV59:$BA59,"○")*参照データ!$I$22)</f>
        <v>0</v>
      </c>
      <c r="GI59" s="19">
        <f>((COUNTIF($Y59:$AG59,"選手権"))*参照データ!$E$13)</f>
        <v>0</v>
      </c>
      <c r="GJ59" s="19" t="str">
        <f>(IF($AI59="選手権",参照データ!$J$13,""))</f>
        <v/>
      </c>
      <c r="GK59" s="106">
        <f t="array" ref="GK59">SUM(IF(ISERROR(FY59:GJ59),0,(FY59:GJ59)))</f>
        <v>0</v>
      </c>
      <c r="GL59" s="19"/>
      <c r="GM59" s="19">
        <f t="shared" si="54"/>
        <v>0</v>
      </c>
      <c r="GN59" s="19">
        <f t="shared" si="55"/>
        <v>0</v>
      </c>
      <c r="GO59" s="19">
        <f t="shared" si="56"/>
        <v>0</v>
      </c>
      <c r="GP59" s="19">
        <f t="shared" si="121"/>
        <v>0</v>
      </c>
      <c r="GQ59" s="19">
        <f t="shared" si="57"/>
        <v>0</v>
      </c>
      <c r="GR59" s="19">
        <f t="shared" si="58"/>
        <v>0</v>
      </c>
      <c r="GS59" s="19">
        <f t="shared" si="59"/>
        <v>0</v>
      </c>
      <c r="GT59" s="19">
        <f t="shared" si="60"/>
        <v>0</v>
      </c>
      <c r="GU59" s="19">
        <f t="shared" si="61"/>
        <v>0</v>
      </c>
      <c r="GV59" t="str">
        <f t="shared" si="122"/>
        <v/>
      </c>
      <c r="GW59" t="str">
        <f t="shared" si="62"/>
        <v/>
      </c>
      <c r="GX59" t="str">
        <f t="shared" si="123"/>
        <v/>
      </c>
      <c r="GY59" t="str">
        <f t="shared" si="63"/>
        <v/>
      </c>
      <c r="GZ59" t="str">
        <f t="shared" si="124"/>
        <v/>
      </c>
    </row>
    <row r="60" spans="1:208" ht="18.75" customHeight="1" x14ac:dyDescent="0.15">
      <c r="A60">
        <v>49</v>
      </c>
      <c r="B60" s="15" t="str">
        <f>IF(D60="","",IF(D60="重複","",COUNTIF(B$12:$B59,"&gt;0")+1))</f>
        <v/>
      </c>
      <c r="C60" s="713"/>
      <c r="D60" s="185"/>
      <c r="E60" s="185"/>
      <c r="F60" s="36"/>
      <c r="G60" s="47"/>
      <c r="H60" s="402">
        <f t="shared" si="112"/>
        <v>0</v>
      </c>
      <c r="I60" s="201" t="str">
        <f>IF($BJ60=0,"",DATEDIF($BJ60,参照データ!$D$16,"Y"))</f>
        <v/>
      </c>
      <c r="J60" s="41"/>
      <c r="K60" s="41"/>
      <c r="L60" s="41"/>
      <c r="M60" s="41"/>
      <c r="N60" s="41"/>
      <c r="O60" s="49"/>
      <c r="P60" s="395"/>
      <c r="Q60" s="51"/>
      <c r="R60" s="289"/>
      <c r="S60" s="289"/>
      <c r="T60" s="289"/>
      <c r="U60" s="290"/>
      <c r="V60" s="293"/>
      <c r="W60" s="295"/>
      <c r="Y60" s="446"/>
      <c r="Z60" s="396" t="str">
        <f>IF($Y60="オープン",VLOOKUP($CO60,参照データ!$D$69:$M$86,9,0),IF($Y60="選手権",VLOOKUP($FC60,参照データ!$D$92:$O$121,10,0),""))</f>
        <v/>
      </c>
      <c r="AA60" s="446"/>
      <c r="AB60" s="666" t="str">
        <f>IF($AA60="オープン",VLOOKUP($CO60,参照データ!$D$69:$M$86,10,0),IF($AA60="選手権",VLOOKUP($FC60,参照データ!$D$92:$O$121,11,0),""))</f>
        <v/>
      </c>
      <c r="AC60" s="669"/>
      <c r="AD60" s="396" t="str">
        <f>IF($AC60="オープン",VLOOKUP($CO60,参照データ!$D$69:$M$86,10,0),IF($AC60="選手権",VLOOKUP($FC60,参照データ!$D$92:$O$121,11,0),""))</f>
        <v/>
      </c>
      <c r="AE60" s="446"/>
      <c r="AF60" s="396" t="str">
        <f>IF($AE60="オープン",VLOOKUP($CO60,参照データ!$D$69:$M$86,10,0),IF($AE60="選手権",VLOOKUP($FJ60,参照データ!$D$92:$O$121,12,0),""))</f>
        <v/>
      </c>
      <c r="AG60" s="446"/>
      <c r="AH60" s="396" t="str">
        <f>IF($AG60="オープン",VLOOKUP($CO60,参照データ!$D$69:$M$86,10,0),IF($AG60="選手権",VLOOKUP($FJ60,参照データ!$D$92:$O$121,12,0),""))</f>
        <v/>
      </c>
      <c r="AI60" s="446"/>
      <c r="AJ60" s="449"/>
      <c r="AK60" s="396" t="str">
        <f t="shared" si="113"/>
        <v/>
      </c>
      <c r="AL60" s="587"/>
      <c r="AM60" s="588" t="str">
        <f>IF($BJ60=0,"",DATEDIF($BJ60,参照データ!$D$17,"Y"))</f>
        <v/>
      </c>
      <c r="AN60" s="450"/>
      <c r="AO60" s="591" t="str">
        <f>IF(AN60="","",IF($BK60="男子",VLOOKUP($DI60,参照データ!$D$128:$M$145,10,FALSE),VLOOKUP($DH60,参照データ!$D$128:$M$145,10,FALSE)))</f>
        <v/>
      </c>
      <c r="AP60" s="450"/>
      <c r="AQ60" s="591" t="str">
        <f>IF(AP60="","",IF($BK60="男子",VLOOKUP($DI60,参照データ!$D$128:$M$145,10,FALSE),VLOOKUP($DH60,参照データ!$D$128:$M$145,10,FALSE)))</f>
        <v/>
      </c>
      <c r="AR60" s="450"/>
      <c r="AS60" s="591" t="str">
        <f>IF(AR60="","",IF($BK60="男子",VLOOKUP($DI60,参照データ!$D$128:$M$145,10,FALSE),VLOOKUP($DH60,参照データ!$D$128:$M$145,10,FALSE)))</f>
        <v/>
      </c>
      <c r="AT60" s="450"/>
      <c r="AU60" s="591" t="str">
        <f>IF(AT60="","",IF($BK60="男子",VLOOKUP($DI60,参照データ!$D$128:$M$145,10,FALSE),VLOOKUP($DH60,参照データ!$D$128:$M$145,10,FALSE)))</f>
        <v/>
      </c>
      <c r="AV60" s="448"/>
      <c r="AW60" s="448"/>
      <c r="AX60" s="585" t="str">
        <f t="shared" si="25"/>
        <v/>
      </c>
      <c r="AY60" s="448"/>
      <c r="AZ60" s="448"/>
      <c r="BA60" s="585" t="str">
        <f t="shared" si="83"/>
        <v/>
      </c>
      <c r="BB60" s="677"/>
      <c r="BC60" s="724"/>
      <c r="BD60" s="640"/>
      <c r="BE60" s="482"/>
      <c r="BF60" s="365"/>
      <c r="BG60" s="366"/>
      <c r="BJ60">
        <f t="shared" si="75"/>
        <v>0</v>
      </c>
      <c r="BK60" t="str">
        <f t="shared" si="65"/>
        <v/>
      </c>
      <c r="BL60" s="146"/>
      <c r="BO60" s="61" t="str">
        <f>IF($BJ60=0,"",IF(AND($I60&gt;=6,$I60&lt;=19),VLOOKUP($I60,参照データ!$B$28:$C$41,2,0),IF($I60&lt;6,6,19)))</f>
        <v/>
      </c>
      <c r="BP60" s="178" t="str">
        <f>IF($J60=$BI$12,VLOOKUP($BO60,参照データ!$C$28:$I$41,2,0),"")</f>
        <v/>
      </c>
      <c r="BQ60" s="169" t="str">
        <f>IF($K60=$BI$12,VLOOKUP($BO60,参照データ!$C$28:$I$41,3,0),"")</f>
        <v/>
      </c>
      <c r="BR60" s="169" t="str">
        <f>IF($L60=$BI$12,VLOOKUP($BO60,参照データ!$C$28:$I$41,4,0),"")</f>
        <v/>
      </c>
      <c r="BS60" s="169" t="str">
        <f>IF($M60=$BI$12,VLOOKUP($BO60,参照データ!$C$28:$I$41,5,0),"")</f>
        <v/>
      </c>
      <c r="BT60" s="169" t="str">
        <f>IF($N60=$BI$12,VLOOKUP($BO60,参照データ!$C$28:$I$41,6,0),"")</f>
        <v/>
      </c>
      <c r="BU60" s="179" t="str">
        <f>IF($O60=$BI$12,VLOOKUP($BO60,参照データ!$C$28:$I$41,7,0),"")</f>
        <v/>
      </c>
      <c r="BV60" s="178" t="str">
        <f>IF($J60=$BI$13,VLOOKUP($BO60,参照データ!$C$28:$I$41,2,0),"")</f>
        <v/>
      </c>
      <c r="BW60" s="169" t="str">
        <f>IF($K60=$BI$13,VLOOKUP($BO60,参照データ!$C$28:$I$41,3,0),"")</f>
        <v/>
      </c>
      <c r="BX60" s="169" t="str">
        <f>IF($L60=$BI$13,VLOOKUP($BO60,参照データ!$C$28:$I$41,4,0),"")</f>
        <v/>
      </c>
      <c r="BY60" s="169" t="str">
        <f>IF($M60=$BI$13,VLOOKUP($BO60,参照データ!$C$28:$I$41,5,0),"")</f>
        <v/>
      </c>
      <c r="BZ60" s="169" t="str">
        <f>IF($N60=$BI$13,VLOOKUP($BO60,参照データ!$C$28:$I$41,6,0),"")</f>
        <v/>
      </c>
      <c r="CA60" s="179" t="str">
        <f>IF($O60=$BI$13,VLOOKUP($BO60,参照データ!$C$28:$I$41,7,0),"")</f>
        <v/>
      </c>
      <c r="CB60" s="271" t="str">
        <f t="shared" si="26"/>
        <v/>
      </c>
      <c r="CC60" s="177" t="str">
        <f>IF($Q60="入門",VLOOKUP($BO60,参照データ!$C$47:$U$60,2,0),IF($Q60="初級",VLOOKUP($BO60,参照データ!$C$47:$U$60,3,0),IF($Q60="中級",VLOOKUP($BO60,参照データ!$C$47:$U$60,4,0),IF($Q60="上級",VLOOKUP($BO60,参照データ!$C$47:$U$60,5,0),""))))</f>
        <v/>
      </c>
      <c r="CD60" s="177" t="str">
        <f>IF($R60="初級",VLOOKUP($BO60,参照データ!$C$47:$U$60,6,0),IF($R60="中級",VLOOKUP($BO60,参照データ!$C$47:$U$60,7,0),IF($R60="上級",VLOOKUP($BO60,参照データ!$C$47:$U$60,8,0),"")))</f>
        <v/>
      </c>
      <c r="CE60" s="177" t="str">
        <f>IF($S60="初級",VLOOKUP($BO60,参照データ!$C$47:$U$60,9,0),IF($S60="上級",VLOOKUP($BO60,参照データ!$C$47:$U$60,10,0),""))</f>
        <v/>
      </c>
      <c r="CF60" s="177" t="str">
        <f>IF($T60="初級",VLOOKUP($BO60,参照データ!$C$47:$U$60,11,0),IF($T60="中級",VLOOKUP($BO60,参照データ!$C$47:$U$60,12,0),IF($T60="上級",VLOOKUP($BO60,参照データ!$C$47:$U$60,13,0),"")))</f>
        <v/>
      </c>
      <c r="CG60" s="177" t="str">
        <f>IF($U60="初級",VLOOKUP($BO60,参照データ!$C$47:$U$60,14,0),IF($U60="中級",VLOOKUP($BO60,参照データ!$C$47:$U$60,15,0),IF($U60="上級",VLOOKUP($BO60,参照データ!$C$47:$U$60,16,0),"")))</f>
        <v/>
      </c>
      <c r="CH60" s="55" t="str">
        <f t="shared" si="5"/>
        <v/>
      </c>
      <c r="CI60" s="55" t="str">
        <f>IF($V60="初級",VLOOKUP($BO60,参照データ!$C$47:$U$60,17,0),IF($V60="中級",VLOOKUP($BO60,参照データ!$C$47:$U$60,18,0),IF($V60="上級",VLOOKUP($BO60,参照データ!$C$47:$U$60,19,0),"")))</f>
        <v/>
      </c>
      <c r="CJ60" s="867">
        <v>25</v>
      </c>
      <c r="CK60" s="74" t="s">
        <v>284</v>
      </c>
      <c r="CL60" s="151" t="str">
        <f t="shared" si="6"/>
        <v/>
      </c>
      <c r="CM60" s="871" t="str">
        <f t="shared" ref="CM60" si="145">IF(OR($CL60="",$CL61=""),"",IF($CL60&gt;$CL61,$CL60,$CL61))</f>
        <v/>
      </c>
      <c r="CO60" s="61">
        <f>IF(AND($BJ60&gt;=参照データ!$C$71,$BJ60&lt;=参照データ!$C$69),1,IF(AND($BJ60&gt;=参照データ!$C$74,$BJ60&lt;=参照データ!$C$72),2,IF(AND($BJ60&gt;=参照データ!$C$77,$BJ60&lt;=参照データ!$C$75),3,IF(AND($BJ60&gt;=参照データ!$C$80,$BJ60&lt;=参照データ!$C$78),4,IF(AND($BJ60&gt;=参照データ!$C$83,$BJ60&lt;=参照データ!$C$81),5,IF(AND($BJ60&gt;0,$BJ60&lt;=参照データ!$C$84),6,""))))))</f>
        <v>5</v>
      </c>
      <c r="CP60" s="160" t="str">
        <f>IF($Y60="オープン",(VLOOKUP($CO60,参照データ!$D$69:$J$86,2,0)),"")</f>
        <v/>
      </c>
      <c r="CQ60" s="79" t="str">
        <f t="shared" si="27"/>
        <v/>
      </c>
      <c r="CR60" s="78" t="str">
        <f>IF($AA60="オープン",(VLOOKUP($CO60,参照データ!$D$69:$J$86,3,0)),"")</f>
        <v/>
      </c>
      <c r="CS60" s="79" t="str">
        <f t="shared" si="28"/>
        <v/>
      </c>
      <c r="CT60" s="78" t="str">
        <f>IF($AC60="オープン",(VLOOKUP($CO60,参照データ!$D$69:$J$86,4,0)),"")</f>
        <v/>
      </c>
      <c r="CU60" s="79" t="str">
        <f t="shared" si="29"/>
        <v/>
      </c>
      <c r="CV60" s="78" t="str">
        <f>IF($AE60="オープン",(VLOOKUP($CO60,参照データ!$D$69:$J$86,5,0)),"")</f>
        <v/>
      </c>
      <c r="CW60" s="79" t="str">
        <f t="shared" si="7"/>
        <v/>
      </c>
      <c r="CX60" s="78" t="str">
        <f>IF($AG60="オープン",(VLOOKUP($CO60,参照データ!$D$69:$J$86,6,0)),"")</f>
        <v/>
      </c>
      <c r="CY60" s="79" t="str">
        <f t="shared" si="30"/>
        <v/>
      </c>
      <c r="CZ60" s="38" t="str">
        <f t="shared" si="31"/>
        <v/>
      </c>
      <c r="DA60" s="37" t="str">
        <f t="shared" si="32"/>
        <v/>
      </c>
      <c r="DB60" s="79" t="str">
        <f t="shared" si="33"/>
        <v/>
      </c>
      <c r="DC60" s="857">
        <v>25</v>
      </c>
      <c r="DD60" s="87" t="s">
        <v>134</v>
      </c>
      <c r="DE60" s="88" t="str">
        <f t="shared" si="34"/>
        <v/>
      </c>
      <c r="DF60" s="859" t="e">
        <f>IF($DE60&gt;$DE61,VLOOKUP($DE60,参照データ!$D$69:$J$86,7,0),VLOOKUP($DE61,参照データ!$D$69:$J$86,7,0))</f>
        <v>#N/A</v>
      </c>
      <c r="DG60" s="350" t="str">
        <f>IFERROR(VLOOKUP($DF60,参照データ!$J$69:$M$86,4,0),"")</f>
        <v/>
      </c>
      <c r="DH60" s="523">
        <f>IF(AND($BJ60&gt;=参照データ!$C$130,$BJ60&lt;=参照データ!$C$128),1,IF(AND($BJ60&gt;=参照データ!$C$133,$BJ60&lt;=参照データ!$C$131),2,IF(AND($BJ60&gt;=参照データ!$C$139,$BJ60&lt;=参照データ!$C$137),3,IF(AND($BJ60&gt;0,$BJ60&lt;=参照データ!$C$140),4,""))))</f>
        <v>1</v>
      </c>
      <c r="DI60" s="523">
        <f t="shared" si="35"/>
        <v>7</v>
      </c>
      <c r="DJ60" s="523" t="str">
        <f t="shared" si="36"/>
        <v/>
      </c>
      <c r="DK60" s="524" t="str">
        <f>IF($AN60="","",IF(AND($AN60="○",$BK60="男子"),VLOOKUP($DI60,参照データ!$D$128:$J$145,3,FALSE),VLOOKUP($DH60,参照データ!$D$128:$J$145,3,FALSE)))</f>
        <v/>
      </c>
      <c r="DL60" s="525" t="str">
        <f t="shared" si="37"/>
        <v/>
      </c>
      <c r="DM60" s="524" t="str">
        <f>IF($AP60="","",IF(AND($AP60="○",$BK60="男子"),VLOOKUP($DI60,参照データ!$D$128:$J$145,4,FALSE),VLOOKUP($DH60,参照データ!$D$128:$J$145,4,FALSE)))</f>
        <v/>
      </c>
      <c r="DN60" s="525" t="str">
        <f t="shared" si="38"/>
        <v/>
      </c>
      <c r="DO60" s="524" t="str">
        <f>IF($AR60="","",IF(AND($AR60="○",$BK60="男子"),VLOOKUP($DI60,参照データ!$D$128:$J$145,5,FALSE),VLOOKUP($DH60,参照データ!$D$128:$J$145,5,FALSE)))</f>
        <v/>
      </c>
      <c r="DP60" s="525" t="str">
        <f t="shared" si="39"/>
        <v/>
      </c>
      <c r="DQ60" s="524" t="str">
        <f>IF($AT60="","",IF(AND($AT60="○",$BK60="男子"),VLOOKUP($DI60,参照データ!$D$128:$J$145,6,FALSE),VLOOKUP($DH60,参照データ!$D$128:$J$145,6,FALSE)))</f>
        <v/>
      </c>
      <c r="DR60" s="525" t="str">
        <f t="shared" si="40"/>
        <v/>
      </c>
      <c r="DS60" s="526" t="str">
        <f t="shared" si="41"/>
        <v/>
      </c>
      <c r="DT60" s="527" t="str">
        <f t="shared" si="42"/>
        <v/>
      </c>
      <c r="DU60" s="528" t="str">
        <f t="shared" si="43"/>
        <v/>
      </c>
      <c r="DV60" s="982">
        <v>25</v>
      </c>
      <c r="DW60" s="533" t="s">
        <v>134</v>
      </c>
      <c r="DX60" s="534" t="str">
        <f t="shared" si="92"/>
        <v/>
      </c>
      <c r="DY60" s="877" t="e">
        <f>IF($DX60&gt;$DX61,VLOOKUP($DX60,参照データ!$D$128:$K$145,7,0),VLOOKUP($DX61,参照データ!$D$128:$K$145,7,0))</f>
        <v>#N/A</v>
      </c>
      <c r="DZ60" s="692" t="str">
        <f>IFERROR(VLOOKUP($DY60,参照データ!$J$128:$N$145,5,0),"")</f>
        <v/>
      </c>
      <c r="EA60" s="526" t="str">
        <f t="shared" si="85"/>
        <v/>
      </c>
      <c r="EB60" s="527" t="str">
        <f t="shared" si="86"/>
        <v/>
      </c>
      <c r="EC60" s="528" t="str">
        <f t="shared" si="87"/>
        <v/>
      </c>
      <c r="ED60" s="982">
        <v>25</v>
      </c>
      <c r="EE60" s="533" t="s">
        <v>134</v>
      </c>
      <c r="EF60" s="533" t="str">
        <f t="shared" si="88"/>
        <v/>
      </c>
      <c r="EG60" s="534" t="str">
        <f>IF(SUM(EF60:EF61)&lt;24,"",IF(SUM(EF60:EF61)&gt;=36,3,2))</f>
        <v/>
      </c>
      <c r="EH60" s="877" t="e">
        <f>IF($EG60&gt;$EG61,VLOOKUP($EG60,参照データ!$D$128:$K$145,8,0),VLOOKUP($EG61,参照データ!$D$128:$K$145,8,0))</f>
        <v>#N/A</v>
      </c>
      <c r="EI60" s="527" t="str">
        <f>IFERROR(VLOOKUP($EH60,参照データ!$K$128:$N$145,4,0),"")</f>
        <v/>
      </c>
      <c r="EJ60" s="555" t="str">
        <f t="shared" si="13"/>
        <v/>
      </c>
      <c r="EK60" s="556" t="str">
        <f t="shared" si="44"/>
        <v/>
      </c>
      <c r="EL60" s="846"/>
      <c r="EM60" s="561" t="s">
        <v>820</v>
      </c>
      <c r="EN60" s="562" t="str">
        <f t="shared" si="45"/>
        <v/>
      </c>
      <c r="EO60" s="849"/>
      <c r="EP60" s="555" t="str">
        <f t="shared" si="115"/>
        <v/>
      </c>
      <c r="EQ60" s="556" t="str">
        <f t="shared" si="46"/>
        <v/>
      </c>
      <c r="ER60" s="846"/>
      <c r="ES60" s="561" t="s">
        <v>820</v>
      </c>
      <c r="ET60" s="562" t="str">
        <f t="shared" si="47"/>
        <v/>
      </c>
      <c r="EU60" s="849"/>
      <c r="EV60" s="38" t="str">
        <f t="shared" si="116"/>
        <v/>
      </c>
      <c r="EW60" s="552" t="str">
        <f t="shared" si="48"/>
        <v/>
      </c>
      <c r="EX60" s="833"/>
      <c r="EY60" s="559" t="s">
        <v>840</v>
      </c>
      <c r="EZ60" s="560" t="str">
        <f t="shared" si="49"/>
        <v/>
      </c>
      <c r="FA60" s="835"/>
      <c r="FB60" t="str">
        <f>IF($FC60="","",DATEDIF($BJ60,参照データ!$D$19,"Y"))</f>
        <v/>
      </c>
      <c r="FC60" s="298" t="str">
        <f>IFERROR(IF($BK60="男子",VLOOKUP($FJ60,参照データ!$D$92:$E$118,2,0),$FJ60),0)</f>
        <v/>
      </c>
      <c r="FD60" s="92" t="str">
        <f>IF($Y60="選手権",(VLOOKUP($FC60,参照データ!$D$92:$K$121,3,0)),"")</f>
        <v/>
      </c>
      <c r="FE60" s="93" t="str">
        <f t="shared" si="117"/>
        <v/>
      </c>
      <c r="FF60" s="92" t="str">
        <f>IF($AA60="選手権",(VLOOKUP($FC60,参照データ!$D$92:$K$121,4,0)),"")</f>
        <v/>
      </c>
      <c r="FG60" s="93" t="str">
        <f t="shared" si="118"/>
        <v/>
      </c>
      <c r="FH60" s="92" t="str">
        <f>IF($AC60="選手権",(VLOOKUP($FC60,参照データ!$D$92:$K$121,5,0)),"")</f>
        <v/>
      </c>
      <c r="FI60" s="93" t="str">
        <f t="shared" si="119"/>
        <v/>
      </c>
      <c r="FJ60" s="61" t="str">
        <f>IF(AND($BJ60&gt;=参照データ!$C$94,$BJ60&lt;=参照データ!$C$92),1,IF(AND($BJ60&gt;=参照データ!$C$97,$BJ60&lt;=参照データ!$C$95),2,IF(AND($BJ60&gt;=参照データ!$C$103,$BJ60&lt;=参照データ!$C$101),3,IF(AND($BJ60&gt;=参照データ!$C$109,$BJ60&lt;=参照データ!$C$107),4,IF(AND($BJ60&gt;=参照データ!$C$115,$BJ60&lt;=参照データ!$C$113),5,IF(AND($BJ60&gt;0,$BJ60&lt;=参照データ!$C$116),6,""))))))</f>
        <v/>
      </c>
      <c r="FK60" s="92" t="str">
        <f>IF($AE60="選手権",(VLOOKUP($FJ60,参照データ!$D$92:$K$121,6,0)),"")</f>
        <v/>
      </c>
      <c r="FL60" s="93" t="str">
        <f t="shared" si="19"/>
        <v/>
      </c>
      <c r="FM60" s="92" t="str">
        <f>IF($AG60="選手権",(VLOOKUP($FJ60,参照データ!$D$92:$K$121,7,0)),"")</f>
        <v/>
      </c>
      <c r="FN60" s="93" t="str">
        <f t="shared" si="50"/>
        <v/>
      </c>
      <c r="FO60" s="38" t="str">
        <f t="shared" si="51"/>
        <v/>
      </c>
      <c r="FP60" s="37" t="str">
        <f t="shared" si="52"/>
        <v/>
      </c>
      <c r="FQ60" s="93" t="str">
        <f t="shared" si="53"/>
        <v/>
      </c>
      <c r="FR60" s="979">
        <v>25</v>
      </c>
      <c r="FS60" s="101" t="s">
        <v>134</v>
      </c>
      <c r="FT60" s="102" t="str">
        <f t="shared" si="120"/>
        <v/>
      </c>
      <c r="FU60" s="980" t="e">
        <f>IF($FT60&gt;$FT61,VLOOKUP($FT60,参照データ!$D$92:$K$121,8,0),VLOOKUP($FT61,参照データ!$D$92:$K$121,8,0))</f>
        <v>#N/A</v>
      </c>
      <c r="FV60" s="356" t="str">
        <f>IFERROR(VLOOKUP($FU60,参照データ!$K$92:$O$121,5,0),"")</f>
        <v/>
      </c>
      <c r="FY60" s="40">
        <f>(COUNTIF($J60:$O60,"&lt;&gt;"))*参照データ!$E$3</f>
        <v>0</v>
      </c>
      <c r="FZ60" s="267" t="str">
        <f>IF($P60="○",参照データ!$E$4,"")</f>
        <v/>
      </c>
      <c r="GA60" s="19">
        <f>(SUM(COUNTIF($Q60:$U60,{"入門","初級"}))*参照データ!$E$9)+(SUM(COUNTIF($Q60:$U60,{"中級","上級"})*参照データ!$E$10))</f>
        <v>0</v>
      </c>
      <c r="GB60" s="19">
        <f>IFERROR(VLOOKUP($V60,参照データ!$D$9:$J$11,7,0),0)</f>
        <v>0</v>
      </c>
      <c r="GC60" s="19">
        <f>((COUNTIF($Y60:$AG60,"オープン"))*参照データ!$E$12)</f>
        <v>0</v>
      </c>
      <c r="GD60" s="19" t="str">
        <f>(IF($AI60="オープン",参照データ!$J$12,""))</f>
        <v/>
      </c>
      <c r="GE60" s="19">
        <f>(COUNTIF($AN60:$AU60,"○")*参照データ!$E$22)</f>
        <v>0</v>
      </c>
      <c r="GF60" s="19">
        <f>(COUNTIF($AV60:$BA60,"○")*参照データ!$I$22)</f>
        <v>0</v>
      </c>
      <c r="GI60" s="19">
        <f>((COUNTIF($Y60:$AG60,"選手権"))*参照データ!$E$13)</f>
        <v>0</v>
      </c>
      <c r="GJ60" s="19" t="str">
        <f>(IF($AI60="選手権",参照データ!$J$13,""))</f>
        <v/>
      </c>
      <c r="GK60" s="106">
        <f t="array" ref="GK60">SUM(IF(ISERROR(FY60:GJ60),0,(FY60:GJ60)))</f>
        <v>0</v>
      </c>
      <c r="GL60" s="19"/>
      <c r="GM60" s="19">
        <f t="shared" si="54"/>
        <v>0</v>
      </c>
      <c r="GN60" s="19">
        <f t="shared" si="55"/>
        <v>0</v>
      </c>
      <c r="GO60" s="19">
        <f t="shared" si="56"/>
        <v>0</v>
      </c>
      <c r="GP60" s="19">
        <f t="shared" si="121"/>
        <v>0</v>
      </c>
      <c r="GQ60" s="19">
        <f t="shared" si="57"/>
        <v>0</v>
      </c>
      <c r="GR60" s="19">
        <f t="shared" si="58"/>
        <v>0</v>
      </c>
      <c r="GS60" s="19">
        <f t="shared" si="59"/>
        <v>0</v>
      </c>
      <c r="GT60" s="19">
        <f t="shared" si="60"/>
        <v>0</v>
      </c>
      <c r="GU60" s="19">
        <f t="shared" si="61"/>
        <v>0</v>
      </c>
      <c r="GV60" t="str">
        <f t="shared" si="122"/>
        <v/>
      </c>
      <c r="GW60" t="str">
        <f t="shared" si="62"/>
        <v/>
      </c>
      <c r="GX60" t="str">
        <f t="shared" si="123"/>
        <v/>
      </c>
      <c r="GY60" t="str">
        <f t="shared" si="63"/>
        <v/>
      </c>
      <c r="GZ60" t="str">
        <f t="shared" si="124"/>
        <v/>
      </c>
    </row>
    <row r="61" spans="1:208" ht="18.75" customHeight="1" x14ac:dyDescent="0.15">
      <c r="A61">
        <v>50</v>
      </c>
      <c r="B61" s="15" t="str">
        <f>IF(D61="","",IF(D61="重複","",COUNTIF(B$12:$B60,"&gt;0")+1))</f>
        <v/>
      </c>
      <c r="C61" s="713"/>
      <c r="D61" s="185"/>
      <c r="E61" s="185"/>
      <c r="F61" s="36"/>
      <c r="G61" s="47"/>
      <c r="H61" s="402">
        <f t="shared" si="112"/>
        <v>0</v>
      </c>
      <c r="I61" s="201" t="str">
        <f>IF($BJ61=0,"",DATEDIF($BJ61,参照データ!$D$16,"Y"))</f>
        <v/>
      </c>
      <c r="J61" s="41"/>
      <c r="K61" s="41"/>
      <c r="L61" s="41"/>
      <c r="M61" s="41"/>
      <c r="N61" s="41"/>
      <c r="O61" s="49"/>
      <c r="P61" s="395"/>
      <c r="Q61" s="51"/>
      <c r="R61" s="289"/>
      <c r="S61" s="289"/>
      <c r="T61" s="289"/>
      <c r="U61" s="290"/>
      <c r="V61" s="293"/>
      <c r="W61" s="295"/>
      <c r="Y61" s="446"/>
      <c r="Z61" s="396" t="str">
        <f>IF($Y61="オープン",VLOOKUP($CO61,参照データ!$D$69:$M$86,9,0),IF($Y61="選手権",VLOOKUP($FC61,参照データ!$D$92:$O$121,10,0),""))</f>
        <v/>
      </c>
      <c r="AA61" s="446"/>
      <c r="AB61" s="666" t="str">
        <f>IF($AA61="オープン",VLOOKUP($CO61,参照データ!$D$69:$M$86,10,0),IF($AA61="選手権",VLOOKUP($FC61,参照データ!$D$92:$O$121,11,0),""))</f>
        <v/>
      </c>
      <c r="AC61" s="669"/>
      <c r="AD61" s="396" t="str">
        <f>IF($AC61="オープン",VLOOKUP($CO61,参照データ!$D$69:$M$86,10,0),IF($AC61="選手権",VLOOKUP($FC61,参照データ!$D$92:$O$121,11,0),""))</f>
        <v/>
      </c>
      <c r="AE61" s="446"/>
      <c r="AF61" s="396" t="str">
        <f>IF($AE61="オープン",VLOOKUP($CO61,参照データ!$D$69:$M$86,10,0),IF($AE61="選手権",VLOOKUP($FJ61,参照データ!$D$92:$O$121,12,0),""))</f>
        <v/>
      </c>
      <c r="AG61" s="446"/>
      <c r="AH61" s="396" t="str">
        <f>IF($AG61="オープン",VLOOKUP($CO61,参照データ!$D$69:$M$86,10,0),IF($AG61="選手権",VLOOKUP($FJ61,参照データ!$D$92:$O$121,12,0),""))</f>
        <v/>
      </c>
      <c r="AI61" s="446"/>
      <c r="AJ61" s="449"/>
      <c r="AK61" s="396" t="str">
        <f t="shared" si="113"/>
        <v/>
      </c>
      <c r="AL61" s="587"/>
      <c r="AM61" s="588" t="str">
        <f>IF($BJ61=0,"",DATEDIF($BJ61,参照データ!$D$17,"Y"))</f>
        <v/>
      </c>
      <c r="AN61" s="450"/>
      <c r="AO61" s="591" t="str">
        <f>IF(AN61="","",IF($BK61="男子",VLOOKUP($DI61,参照データ!$D$128:$M$145,10,FALSE),VLOOKUP($DH61,参照データ!$D$128:$M$145,10,FALSE)))</f>
        <v/>
      </c>
      <c r="AP61" s="450"/>
      <c r="AQ61" s="591" t="str">
        <f>IF(AP61="","",IF($BK61="男子",VLOOKUP($DI61,参照データ!$D$128:$M$145,10,FALSE),VLOOKUP($DH61,参照データ!$D$128:$M$145,10,FALSE)))</f>
        <v/>
      </c>
      <c r="AR61" s="450"/>
      <c r="AS61" s="591" t="str">
        <f>IF(AR61="","",IF($BK61="男子",VLOOKUP($DI61,参照データ!$D$128:$M$145,10,FALSE),VLOOKUP($DH61,参照データ!$D$128:$M$145,10,FALSE)))</f>
        <v/>
      </c>
      <c r="AT61" s="450"/>
      <c r="AU61" s="591" t="str">
        <f>IF(AT61="","",IF($BK61="男子",VLOOKUP($DI61,参照データ!$D$128:$M$145,10,FALSE),VLOOKUP($DH61,参照データ!$D$128:$M$145,10,FALSE)))</f>
        <v/>
      </c>
      <c r="AV61" s="448"/>
      <c r="AW61" s="448"/>
      <c r="AX61" s="585" t="str">
        <f t="shared" si="25"/>
        <v/>
      </c>
      <c r="AY61" s="448"/>
      <c r="AZ61" s="448"/>
      <c r="BA61" s="585" t="str">
        <f t="shared" si="83"/>
        <v/>
      </c>
      <c r="BB61" s="677"/>
      <c r="BC61" s="724"/>
      <c r="BD61" s="640"/>
      <c r="BE61" s="482"/>
      <c r="BF61" s="365"/>
      <c r="BG61" s="366"/>
      <c r="BJ61">
        <f t="shared" si="75"/>
        <v>0</v>
      </c>
      <c r="BK61" t="str">
        <f t="shared" si="65"/>
        <v/>
      </c>
      <c r="BL61" s="146"/>
      <c r="BO61" s="61" t="str">
        <f>IF($BJ61=0,"",IF(AND($I61&gt;=6,$I61&lt;=19),VLOOKUP($I61,参照データ!$B$28:$C$41,2,0),IF($I61&lt;6,6,19)))</f>
        <v/>
      </c>
      <c r="BP61" s="178" t="str">
        <f>IF($J61=$BI$12,VLOOKUP($BO61,参照データ!$C$28:$I$41,2,0),"")</f>
        <v/>
      </c>
      <c r="BQ61" s="169" t="str">
        <f>IF($K61=$BI$12,VLOOKUP($BO61,参照データ!$C$28:$I$41,3,0),"")</f>
        <v/>
      </c>
      <c r="BR61" s="169" t="str">
        <f>IF($L61=$BI$12,VLOOKUP($BO61,参照データ!$C$28:$I$41,4,0),"")</f>
        <v/>
      </c>
      <c r="BS61" s="169" t="str">
        <f>IF($M61=$BI$12,VLOOKUP($BO61,参照データ!$C$28:$I$41,5,0),"")</f>
        <v/>
      </c>
      <c r="BT61" s="169" t="str">
        <f>IF($N61=$BI$12,VLOOKUP($BO61,参照データ!$C$28:$I$41,6,0),"")</f>
        <v/>
      </c>
      <c r="BU61" s="179" t="str">
        <f>IF($O61=$BI$12,VLOOKUP($BO61,参照データ!$C$28:$I$41,7,0),"")</f>
        <v/>
      </c>
      <c r="BV61" s="178" t="str">
        <f>IF($J61=$BI$13,VLOOKUP($BO61,参照データ!$C$28:$I$41,2,0),"")</f>
        <v/>
      </c>
      <c r="BW61" s="169" t="str">
        <f>IF($K61=$BI$13,VLOOKUP($BO61,参照データ!$C$28:$I$41,3,0),"")</f>
        <v/>
      </c>
      <c r="BX61" s="169" t="str">
        <f>IF($L61=$BI$13,VLOOKUP($BO61,参照データ!$C$28:$I$41,4,0),"")</f>
        <v/>
      </c>
      <c r="BY61" s="169" t="str">
        <f>IF($M61=$BI$13,VLOOKUP($BO61,参照データ!$C$28:$I$41,5,0),"")</f>
        <v/>
      </c>
      <c r="BZ61" s="169" t="str">
        <f>IF($N61=$BI$13,VLOOKUP($BO61,参照データ!$C$28:$I$41,6,0),"")</f>
        <v/>
      </c>
      <c r="CA61" s="179" t="str">
        <f>IF($O61=$BI$13,VLOOKUP($BO61,参照データ!$C$28:$I$41,7,0),"")</f>
        <v/>
      </c>
      <c r="CB61" s="271" t="str">
        <f t="shared" si="26"/>
        <v/>
      </c>
      <c r="CC61" s="177" t="str">
        <f>IF($Q61="入門",VLOOKUP($BO61,参照データ!$C$47:$U$60,2,0),IF($Q61="初級",VLOOKUP($BO61,参照データ!$C$47:$U$60,3,0),IF($Q61="中級",VLOOKUP($BO61,参照データ!$C$47:$U$60,4,0),IF($Q61="上級",VLOOKUP($BO61,参照データ!$C$47:$U$60,5,0),""))))</f>
        <v/>
      </c>
      <c r="CD61" s="177" t="str">
        <f>IF($R61="初級",VLOOKUP($BO61,参照データ!$C$47:$U$60,6,0),IF($R61="中級",VLOOKUP($BO61,参照データ!$C$47:$U$60,7,0),IF($R61="上級",VLOOKUP($BO61,参照データ!$C$47:$U$60,8,0),"")))</f>
        <v/>
      </c>
      <c r="CE61" s="177" t="str">
        <f>IF($S61="初級",VLOOKUP($BO61,参照データ!$C$47:$U$60,9,0),IF($S61="上級",VLOOKUP($BO61,参照データ!$C$47:$U$60,10,0),""))</f>
        <v/>
      </c>
      <c r="CF61" s="177" t="str">
        <f>IF($T61="初級",VLOOKUP($BO61,参照データ!$C$47:$U$60,11,0),IF($T61="中級",VLOOKUP($BO61,参照データ!$C$47:$U$60,12,0),IF($T61="上級",VLOOKUP($BO61,参照データ!$C$47:$U$60,13,0),"")))</f>
        <v/>
      </c>
      <c r="CG61" s="177" t="str">
        <f>IF($U61="初級",VLOOKUP($BO61,参照データ!$C$47:$U$60,14,0),IF($U61="中級",VLOOKUP($BO61,参照データ!$C$47:$U$60,15,0),IF($U61="上級",VLOOKUP($BO61,参照データ!$C$47:$U$60,16,0),"")))</f>
        <v/>
      </c>
      <c r="CH61" s="55" t="str">
        <f t="shared" si="5"/>
        <v/>
      </c>
      <c r="CI61" s="55" t="str">
        <f>IF($V61="初級",VLOOKUP($BO61,参照データ!$C$47:$U$60,17,0),IF($V61="中級",VLOOKUP($BO61,参照データ!$C$47:$U$60,18,0),IF($V61="上級",VLOOKUP($BO61,参照データ!$C$47:$U$60,19,0),"")))</f>
        <v/>
      </c>
      <c r="CJ61" s="868"/>
      <c r="CK61" s="73" t="s">
        <v>285</v>
      </c>
      <c r="CL61" s="150" t="str">
        <f t="shared" si="6"/>
        <v/>
      </c>
      <c r="CM61" s="872"/>
      <c r="CO61" s="61">
        <f>IF(AND($BJ61&gt;=参照データ!$C$71,$BJ61&lt;=参照データ!$C$69),1,IF(AND($BJ61&gt;=参照データ!$C$74,$BJ61&lt;=参照データ!$C$72),2,IF(AND($BJ61&gt;=参照データ!$C$77,$BJ61&lt;=参照データ!$C$75),3,IF(AND($BJ61&gt;=参照データ!$C$80,$BJ61&lt;=参照データ!$C$78),4,IF(AND($BJ61&gt;=参照データ!$C$83,$BJ61&lt;=参照データ!$C$81),5,IF(AND($BJ61&gt;0,$BJ61&lt;=参照データ!$C$84),6,""))))))</f>
        <v>5</v>
      </c>
      <c r="CP61" s="160" t="str">
        <f>IF($Y61="オープン",(VLOOKUP($CO61,参照データ!$D$69:$J$86,2,0)),"")</f>
        <v/>
      </c>
      <c r="CQ61" s="79" t="str">
        <f t="shared" si="27"/>
        <v/>
      </c>
      <c r="CR61" s="78" t="str">
        <f>IF($AA61="オープン",(VLOOKUP($CO61,参照データ!$D$69:$J$86,3,0)),"")</f>
        <v/>
      </c>
      <c r="CS61" s="79" t="str">
        <f t="shared" si="28"/>
        <v/>
      </c>
      <c r="CT61" s="78" t="str">
        <f>IF($AC61="オープン",(VLOOKUP($CO61,参照データ!$D$69:$J$86,4,0)),"")</f>
        <v/>
      </c>
      <c r="CU61" s="79" t="str">
        <f t="shared" si="29"/>
        <v/>
      </c>
      <c r="CV61" s="78" t="str">
        <f>IF($AE61="オープン",(VLOOKUP($CO61,参照データ!$D$69:$J$86,5,0)),"")</f>
        <v/>
      </c>
      <c r="CW61" s="79" t="str">
        <f t="shared" si="7"/>
        <v/>
      </c>
      <c r="CX61" s="78" t="str">
        <f>IF($AG61="オープン",(VLOOKUP($CO61,参照データ!$D$69:$J$86,6,0)),"")</f>
        <v/>
      </c>
      <c r="CY61" s="79" t="str">
        <f t="shared" si="30"/>
        <v/>
      </c>
      <c r="CZ61" s="38" t="str">
        <f t="shared" si="31"/>
        <v/>
      </c>
      <c r="DA61" s="37" t="str">
        <f t="shared" si="32"/>
        <v/>
      </c>
      <c r="DB61" s="79" t="str">
        <f t="shared" si="33"/>
        <v/>
      </c>
      <c r="DC61" s="858"/>
      <c r="DD61" s="85" t="s">
        <v>135</v>
      </c>
      <c r="DE61" s="86" t="str">
        <f t="shared" si="34"/>
        <v/>
      </c>
      <c r="DF61" s="860"/>
      <c r="DG61" s="350" t="str">
        <f t="shared" ref="DG61" si="146">$DG60</f>
        <v/>
      </c>
      <c r="DH61" s="523">
        <f>IF(AND($BJ61&gt;=参照データ!$C$130,$BJ61&lt;=参照データ!$C$128),1,IF(AND($BJ61&gt;=参照データ!$C$133,$BJ61&lt;=参照データ!$C$131),2,IF(AND($BJ61&gt;=参照データ!$C$139,$BJ61&lt;=参照データ!$C$137),3,IF(AND($BJ61&gt;0,$BJ61&lt;=参照データ!$C$140),4,""))))</f>
        <v>1</v>
      </c>
      <c r="DI61" s="523">
        <f t="shared" si="35"/>
        <v>7</v>
      </c>
      <c r="DJ61" s="523" t="str">
        <f t="shared" si="36"/>
        <v/>
      </c>
      <c r="DK61" s="524" t="str">
        <f>IF($AN61="","",IF(AND($AN61="○",$BK61="男子"),VLOOKUP($DI61,参照データ!$D$128:$J$145,3,FALSE),VLOOKUP($DH61,参照データ!$D$128:$J$145,3,FALSE)))</f>
        <v/>
      </c>
      <c r="DL61" s="525" t="str">
        <f t="shared" si="37"/>
        <v/>
      </c>
      <c r="DM61" s="524" t="str">
        <f>IF($AP61="","",IF(AND($AP61="○",$BK61="男子"),VLOOKUP($DI61,参照データ!$D$128:$J$145,4,FALSE),VLOOKUP($DH61,参照データ!$D$128:$J$145,4,FALSE)))</f>
        <v/>
      </c>
      <c r="DN61" s="525" t="str">
        <f t="shared" si="38"/>
        <v/>
      </c>
      <c r="DO61" s="524" t="str">
        <f>IF($AR61="","",IF(AND($AR61="○",$BK61="男子"),VLOOKUP($DI61,参照データ!$D$128:$J$145,5,FALSE),VLOOKUP($DH61,参照データ!$D$128:$J$145,5,FALSE)))</f>
        <v/>
      </c>
      <c r="DP61" s="525" t="str">
        <f t="shared" si="39"/>
        <v/>
      </c>
      <c r="DQ61" s="524" t="str">
        <f>IF($AT61="","",IF(AND($AT61="○",$BK61="男子"),VLOOKUP($DI61,参照データ!$D$128:$J$145,6,FALSE),VLOOKUP($DH61,参照データ!$D$128:$J$145,6,FALSE)))</f>
        <v/>
      </c>
      <c r="DR61" s="525" t="str">
        <f t="shared" si="40"/>
        <v/>
      </c>
      <c r="DS61" s="526" t="str">
        <f t="shared" si="41"/>
        <v/>
      </c>
      <c r="DT61" s="527" t="str">
        <f t="shared" si="42"/>
        <v/>
      </c>
      <c r="DU61" s="528" t="str">
        <f t="shared" si="43"/>
        <v/>
      </c>
      <c r="DV61" s="983"/>
      <c r="DW61" s="531" t="s">
        <v>135</v>
      </c>
      <c r="DX61" s="532" t="str">
        <f t="shared" si="92"/>
        <v/>
      </c>
      <c r="DY61" s="994"/>
      <c r="DZ61" s="692" t="str">
        <f>$DZ60</f>
        <v/>
      </c>
      <c r="EA61" s="526" t="str">
        <f t="shared" si="85"/>
        <v/>
      </c>
      <c r="EB61" s="527" t="str">
        <f t="shared" si="86"/>
        <v/>
      </c>
      <c r="EC61" s="528" t="str">
        <f t="shared" si="87"/>
        <v/>
      </c>
      <c r="ED61" s="983"/>
      <c r="EE61" s="531" t="s">
        <v>135</v>
      </c>
      <c r="EF61" s="531" t="str">
        <f t="shared" si="88"/>
        <v/>
      </c>
      <c r="EG61" s="532" t="str">
        <f>IF(SUM(EF60:EF61)&lt;24,"",IF(SUM(EF60:EF61)&gt;=36,3,2))</f>
        <v/>
      </c>
      <c r="EH61" s="994"/>
      <c r="EI61" s="527" t="str">
        <f>$EI60</f>
        <v/>
      </c>
      <c r="EJ61" s="555" t="str">
        <f t="shared" si="13"/>
        <v/>
      </c>
      <c r="EK61" s="556" t="str">
        <f t="shared" si="44"/>
        <v/>
      </c>
      <c r="EL61" s="847"/>
      <c r="EM61" s="563" t="s">
        <v>821</v>
      </c>
      <c r="EN61" s="564" t="str">
        <f t="shared" si="45"/>
        <v/>
      </c>
      <c r="EO61" s="850"/>
      <c r="EP61" s="555" t="str">
        <f t="shared" si="115"/>
        <v/>
      </c>
      <c r="EQ61" s="556" t="str">
        <f t="shared" si="46"/>
        <v/>
      </c>
      <c r="ER61" s="847"/>
      <c r="ES61" s="563" t="s">
        <v>821</v>
      </c>
      <c r="ET61" s="564" t="str">
        <f t="shared" si="47"/>
        <v/>
      </c>
      <c r="EU61" s="850"/>
      <c r="EV61" s="38" t="str">
        <f t="shared" si="116"/>
        <v/>
      </c>
      <c r="EW61" s="552" t="str">
        <f t="shared" si="48"/>
        <v/>
      </c>
      <c r="EX61" s="833"/>
      <c r="EY61" s="559" t="s">
        <v>841</v>
      </c>
      <c r="EZ61" s="560" t="str">
        <f t="shared" si="49"/>
        <v/>
      </c>
      <c r="FA61" s="835"/>
      <c r="FB61" t="str">
        <f>IF($FC61="","",DATEDIF($BJ61,参照データ!$D$19,"Y"))</f>
        <v/>
      </c>
      <c r="FC61" s="298" t="str">
        <f>IFERROR(IF($BK61="男子",VLOOKUP($FJ61,参照データ!$D$92:$E$118,2,0),$FJ61),0)</f>
        <v/>
      </c>
      <c r="FD61" s="92" t="str">
        <f>IF($Y61="選手権",(VLOOKUP($FC61,参照データ!$D$92:$K$121,3,0)),"")</f>
        <v/>
      </c>
      <c r="FE61" s="93" t="str">
        <f t="shared" si="117"/>
        <v/>
      </c>
      <c r="FF61" s="92" t="str">
        <f>IF($AA61="選手権",(VLOOKUP($FC61,参照データ!$D$92:$K$121,4,0)),"")</f>
        <v/>
      </c>
      <c r="FG61" s="93" t="str">
        <f t="shared" si="118"/>
        <v/>
      </c>
      <c r="FH61" s="92" t="str">
        <f>IF($AC61="選手権",(VLOOKUP($FC61,参照データ!$D$92:$K$121,5,0)),"")</f>
        <v/>
      </c>
      <c r="FI61" s="93" t="str">
        <f t="shared" si="119"/>
        <v/>
      </c>
      <c r="FJ61" s="61" t="str">
        <f>IF(AND($BJ61&gt;=参照データ!$C$94,$BJ61&lt;=参照データ!$C$92),1,IF(AND($BJ61&gt;=参照データ!$C$97,$BJ61&lt;=参照データ!$C$95),2,IF(AND($BJ61&gt;=参照データ!$C$103,$BJ61&lt;=参照データ!$C$101),3,IF(AND($BJ61&gt;=参照データ!$C$109,$BJ61&lt;=参照データ!$C$107),4,IF(AND($BJ61&gt;=参照データ!$C$115,$BJ61&lt;=参照データ!$C$113),5,IF(AND($BJ61&gt;0,$BJ61&lt;=参照データ!$C$116),6,""))))))</f>
        <v/>
      </c>
      <c r="FK61" s="92" t="str">
        <f>IF($AE61="選手権",(VLOOKUP($FJ61,参照データ!$D$92:$K$121,6,0)),"")</f>
        <v/>
      </c>
      <c r="FL61" s="93" t="str">
        <f t="shared" si="19"/>
        <v/>
      </c>
      <c r="FM61" s="92" t="str">
        <f>IF($AG61="選手権",(VLOOKUP($FJ61,参照データ!$D$92:$K$121,7,0)),"")</f>
        <v/>
      </c>
      <c r="FN61" s="93" t="str">
        <f t="shared" si="50"/>
        <v/>
      </c>
      <c r="FO61" s="38" t="str">
        <f t="shared" si="51"/>
        <v/>
      </c>
      <c r="FP61" s="37" t="str">
        <f t="shared" si="52"/>
        <v/>
      </c>
      <c r="FQ61" s="93" t="str">
        <f t="shared" si="53"/>
        <v/>
      </c>
      <c r="FR61" s="976"/>
      <c r="FS61" s="99" t="s">
        <v>135</v>
      </c>
      <c r="FT61" s="100" t="str">
        <f t="shared" si="120"/>
        <v/>
      </c>
      <c r="FU61" s="978"/>
      <c r="FV61" s="356" t="str">
        <f t="shared" ref="FV61" si="147">$FV60</f>
        <v/>
      </c>
      <c r="FY61" s="40">
        <f>(COUNTIF($J61:$O61,"&lt;&gt;"))*参照データ!$E$3</f>
        <v>0</v>
      </c>
      <c r="FZ61" s="267" t="str">
        <f>IF($P61="○",参照データ!$E$4,"")</f>
        <v/>
      </c>
      <c r="GA61" s="19">
        <f>(SUM(COUNTIF($Q61:$U61,{"入門","初級"}))*参照データ!$E$9)+(SUM(COUNTIF($Q61:$U61,{"中級","上級"})*参照データ!$E$10))</f>
        <v>0</v>
      </c>
      <c r="GB61" s="19">
        <f>IFERROR(VLOOKUP($V61,参照データ!$D$9:$J$11,7,0),0)</f>
        <v>0</v>
      </c>
      <c r="GC61" s="19">
        <f>((COUNTIF($Y61:$AG61,"オープン"))*参照データ!$E$12)</f>
        <v>0</v>
      </c>
      <c r="GD61" s="19" t="str">
        <f>(IF($AI61="オープン",参照データ!$J$12,""))</f>
        <v/>
      </c>
      <c r="GE61" s="19">
        <f>(COUNTIF($AN61:$AU61,"○")*参照データ!$E$22)</f>
        <v>0</v>
      </c>
      <c r="GF61" s="19">
        <f>(COUNTIF($AV61:$BA61,"○")*参照データ!$I$22)</f>
        <v>0</v>
      </c>
      <c r="GI61" s="19">
        <f>((COUNTIF($Y61:$AG61,"選手権"))*参照データ!$E$13)</f>
        <v>0</v>
      </c>
      <c r="GJ61" s="19" t="str">
        <f>(IF($AI61="選手権",参照データ!$J$13,""))</f>
        <v/>
      </c>
      <c r="GK61" s="106">
        <f t="array" ref="GK61">SUM(IF(ISERROR(FY61:GJ61),0,(FY61:GJ61)))</f>
        <v>0</v>
      </c>
      <c r="GL61" s="19"/>
      <c r="GM61" s="19">
        <f t="shared" si="54"/>
        <v>0</v>
      </c>
      <c r="GN61" s="19">
        <f t="shared" si="55"/>
        <v>0</v>
      </c>
      <c r="GO61" s="19">
        <f t="shared" si="56"/>
        <v>0</v>
      </c>
      <c r="GP61" s="19">
        <f t="shared" si="121"/>
        <v>0</v>
      </c>
      <c r="GQ61" s="19">
        <f t="shared" si="57"/>
        <v>0</v>
      </c>
      <c r="GR61" s="19">
        <f t="shared" si="58"/>
        <v>0</v>
      </c>
      <c r="GS61" s="19">
        <f t="shared" si="59"/>
        <v>0</v>
      </c>
      <c r="GT61" s="19">
        <f t="shared" si="60"/>
        <v>0</v>
      </c>
      <c r="GU61" s="19">
        <f t="shared" si="61"/>
        <v>0</v>
      </c>
      <c r="GV61" t="str">
        <f t="shared" si="122"/>
        <v/>
      </c>
      <c r="GW61" t="str">
        <f t="shared" si="62"/>
        <v/>
      </c>
      <c r="GX61" t="str">
        <f t="shared" si="123"/>
        <v/>
      </c>
      <c r="GY61" t="str">
        <f t="shared" si="63"/>
        <v/>
      </c>
      <c r="GZ61" t="str">
        <f t="shared" si="124"/>
        <v/>
      </c>
    </row>
    <row r="62" spans="1:208" ht="18.75" customHeight="1" x14ac:dyDescent="0.15">
      <c r="A62">
        <v>51</v>
      </c>
      <c r="B62" s="15" t="str">
        <f>IF(D62="","",IF(D62="重複","",COUNTIF(B$12:$B61,"&gt;0")+1))</f>
        <v/>
      </c>
      <c r="C62" s="713"/>
      <c r="D62" s="185"/>
      <c r="E62" s="185"/>
      <c r="F62" s="36"/>
      <c r="G62" s="47"/>
      <c r="H62" s="402">
        <f t="shared" si="112"/>
        <v>0</v>
      </c>
      <c r="I62" s="201" t="str">
        <f>IF($BJ62=0,"",DATEDIF($BJ62,参照データ!$D$16,"Y"))</f>
        <v/>
      </c>
      <c r="J62" s="41"/>
      <c r="K62" s="41"/>
      <c r="L62" s="41"/>
      <c r="M62" s="41"/>
      <c r="N62" s="41"/>
      <c r="O62" s="49"/>
      <c r="P62" s="395"/>
      <c r="Q62" s="51"/>
      <c r="R62" s="289"/>
      <c r="S62" s="289"/>
      <c r="T62" s="289"/>
      <c r="U62" s="290"/>
      <c r="V62" s="293"/>
      <c r="W62" s="295"/>
      <c r="Y62" s="446"/>
      <c r="Z62" s="396" t="str">
        <f>IF($Y62="オープン",VLOOKUP($CO62,参照データ!$D$69:$M$86,9,0),IF($Y62="選手権",VLOOKUP($FC62,参照データ!$D$92:$O$121,10,0),""))</f>
        <v/>
      </c>
      <c r="AA62" s="446"/>
      <c r="AB62" s="666" t="str">
        <f>IF($AA62="オープン",VLOOKUP($CO62,参照データ!$D$69:$M$86,10,0),IF($AA62="選手権",VLOOKUP($FC62,参照データ!$D$92:$O$121,11,0),""))</f>
        <v/>
      </c>
      <c r="AC62" s="669"/>
      <c r="AD62" s="396" t="str">
        <f>IF($AC62="オープン",VLOOKUP($CO62,参照データ!$D$69:$M$86,10,0),IF($AC62="選手権",VLOOKUP($FC62,参照データ!$D$92:$O$121,11,0),""))</f>
        <v/>
      </c>
      <c r="AE62" s="446"/>
      <c r="AF62" s="396" t="str">
        <f>IF($AE62="オープン",VLOOKUP($CO62,参照データ!$D$69:$M$86,10,0),IF($AE62="選手権",VLOOKUP($FJ62,参照データ!$D$92:$O$121,12,0),""))</f>
        <v/>
      </c>
      <c r="AG62" s="446"/>
      <c r="AH62" s="396" t="str">
        <f>IF($AG62="オープン",VLOOKUP($CO62,参照データ!$D$69:$M$86,10,0),IF($AG62="選手権",VLOOKUP($FJ62,参照データ!$D$92:$O$121,12,0),""))</f>
        <v/>
      </c>
      <c r="AI62" s="446"/>
      <c r="AJ62" s="449"/>
      <c r="AK62" s="396" t="str">
        <f t="shared" si="113"/>
        <v/>
      </c>
      <c r="AL62" s="587"/>
      <c r="AM62" s="588" t="str">
        <f>IF($BJ62=0,"",DATEDIF($BJ62,参照データ!$D$17,"Y"))</f>
        <v/>
      </c>
      <c r="AN62" s="450"/>
      <c r="AO62" s="591" t="str">
        <f>IF(AN62="","",IF($BK62="男子",VLOOKUP($DI62,参照データ!$D$128:$M$145,10,FALSE),VLOOKUP($DH62,参照データ!$D$128:$M$145,10,FALSE)))</f>
        <v/>
      </c>
      <c r="AP62" s="450"/>
      <c r="AQ62" s="591" t="str">
        <f>IF(AP62="","",IF($BK62="男子",VLOOKUP($DI62,参照データ!$D$128:$M$145,10,FALSE),VLOOKUP($DH62,参照データ!$D$128:$M$145,10,FALSE)))</f>
        <v/>
      </c>
      <c r="AR62" s="450"/>
      <c r="AS62" s="591" t="str">
        <f>IF(AR62="","",IF($BK62="男子",VLOOKUP($DI62,参照データ!$D$128:$M$145,10,FALSE),VLOOKUP($DH62,参照データ!$D$128:$M$145,10,FALSE)))</f>
        <v/>
      </c>
      <c r="AT62" s="450"/>
      <c r="AU62" s="591" t="str">
        <f>IF(AT62="","",IF($BK62="男子",VLOOKUP($DI62,参照データ!$D$128:$M$145,10,FALSE),VLOOKUP($DH62,参照データ!$D$128:$M$145,10,FALSE)))</f>
        <v/>
      </c>
      <c r="AV62" s="448"/>
      <c r="AW62" s="448"/>
      <c r="AX62" s="585" t="str">
        <f t="shared" si="25"/>
        <v/>
      </c>
      <c r="AY62" s="448"/>
      <c r="AZ62" s="448"/>
      <c r="BA62" s="585" t="str">
        <f t="shared" si="83"/>
        <v/>
      </c>
      <c r="BB62" s="677"/>
      <c r="BC62" s="724"/>
      <c r="BD62" s="640"/>
      <c r="BE62" s="482"/>
      <c r="BF62" s="365"/>
      <c r="BG62" s="366"/>
      <c r="BJ62">
        <f t="shared" si="75"/>
        <v>0</v>
      </c>
      <c r="BK62" t="str">
        <f t="shared" si="65"/>
        <v/>
      </c>
      <c r="BL62" s="146"/>
      <c r="BO62" s="61" t="str">
        <f>IF($BJ62=0,"",IF(AND($I62&gt;=6,$I62&lt;=19),VLOOKUP($I62,参照データ!$B$28:$C$41,2,0),IF($I62&lt;6,6,19)))</f>
        <v/>
      </c>
      <c r="BP62" s="178" t="str">
        <f>IF($J62=$BI$12,VLOOKUP($BO62,参照データ!$C$28:$I$41,2,0),"")</f>
        <v/>
      </c>
      <c r="BQ62" s="169" t="str">
        <f>IF($K62=$BI$12,VLOOKUP($BO62,参照データ!$C$28:$I$41,3,0),"")</f>
        <v/>
      </c>
      <c r="BR62" s="169" t="str">
        <f>IF($L62=$BI$12,VLOOKUP($BO62,参照データ!$C$28:$I$41,4,0),"")</f>
        <v/>
      </c>
      <c r="BS62" s="169" t="str">
        <f>IF($M62=$BI$12,VLOOKUP($BO62,参照データ!$C$28:$I$41,5,0),"")</f>
        <v/>
      </c>
      <c r="BT62" s="169" t="str">
        <f>IF($N62=$BI$12,VLOOKUP($BO62,参照データ!$C$28:$I$41,6,0),"")</f>
        <v/>
      </c>
      <c r="BU62" s="179" t="str">
        <f>IF($O62=$BI$12,VLOOKUP($BO62,参照データ!$C$28:$I$41,7,0),"")</f>
        <v/>
      </c>
      <c r="BV62" s="178" t="str">
        <f>IF($J62=$BI$13,VLOOKUP($BO62,参照データ!$C$28:$I$41,2,0),"")</f>
        <v/>
      </c>
      <c r="BW62" s="169" t="str">
        <f>IF($K62=$BI$13,VLOOKUP($BO62,参照データ!$C$28:$I$41,3,0),"")</f>
        <v/>
      </c>
      <c r="BX62" s="169" t="str">
        <f>IF($L62=$BI$13,VLOOKUP($BO62,参照データ!$C$28:$I$41,4,0),"")</f>
        <v/>
      </c>
      <c r="BY62" s="169" t="str">
        <f>IF($M62=$BI$13,VLOOKUP($BO62,参照データ!$C$28:$I$41,5,0),"")</f>
        <v/>
      </c>
      <c r="BZ62" s="169" t="str">
        <f>IF($N62=$BI$13,VLOOKUP($BO62,参照データ!$C$28:$I$41,6,0),"")</f>
        <v/>
      </c>
      <c r="CA62" s="179" t="str">
        <f>IF($O62=$BI$13,VLOOKUP($BO62,参照データ!$C$28:$I$41,7,0),"")</f>
        <v/>
      </c>
      <c r="CB62" s="271" t="str">
        <f t="shared" si="26"/>
        <v/>
      </c>
      <c r="CC62" s="177" t="str">
        <f>IF($Q62="入門",VLOOKUP($BO62,参照データ!$C$47:$U$60,2,0),IF($Q62="初級",VLOOKUP($BO62,参照データ!$C$47:$U$60,3,0),IF($Q62="中級",VLOOKUP($BO62,参照データ!$C$47:$U$60,4,0),IF($Q62="上級",VLOOKUP($BO62,参照データ!$C$47:$U$60,5,0),""))))</f>
        <v/>
      </c>
      <c r="CD62" s="177" t="str">
        <f>IF($R62="初級",VLOOKUP($BO62,参照データ!$C$47:$U$60,6,0),IF($R62="中級",VLOOKUP($BO62,参照データ!$C$47:$U$60,7,0),IF($R62="上級",VLOOKUP($BO62,参照データ!$C$47:$U$60,8,0),"")))</f>
        <v/>
      </c>
      <c r="CE62" s="177" t="str">
        <f>IF($S62="初級",VLOOKUP($BO62,参照データ!$C$47:$U$60,9,0),IF($S62="上級",VLOOKUP($BO62,参照データ!$C$47:$U$60,10,0),""))</f>
        <v/>
      </c>
      <c r="CF62" s="177" t="str">
        <f>IF($T62="初級",VLOOKUP($BO62,参照データ!$C$47:$U$60,11,0),IF($T62="中級",VLOOKUP($BO62,参照データ!$C$47:$U$60,12,0),IF($T62="上級",VLOOKUP($BO62,参照データ!$C$47:$U$60,13,0),"")))</f>
        <v/>
      </c>
      <c r="CG62" s="177" t="str">
        <f>IF($U62="初級",VLOOKUP($BO62,参照データ!$C$47:$U$60,14,0),IF($U62="中級",VLOOKUP($BO62,参照データ!$C$47:$U$60,15,0),IF($U62="上級",VLOOKUP($BO62,参照データ!$C$47:$U$60,16,0),"")))</f>
        <v/>
      </c>
      <c r="CH62" s="55" t="str">
        <f t="shared" si="5"/>
        <v/>
      </c>
      <c r="CI62" s="55" t="str">
        <f>IF($V62="初級",VLOOKUP($BO62,参照データ!$C$47:$U$60,17,0),IF($V62="中級",VLOOKUP($BO62,参照データ!$C$47:$U$60,18,0),IF($V62="上級",VLOOKUP($BO62,参照データ!$C$47:$U$60,19,0),"")))</f>
        <v/>
      </c>
      <c r="CJ62" s="867">
        <v>26</v>
      </c>
      <c r="CK62" s="74" t="s">
        <v>286</v>
      </c>
      <c r="CL62" s="151" t="str">
        <f t="shared" si="6"/>
        <v/>
      </c>
      <c r="CM62" s="871" t="str">
        <f t="shared" ref="CM62" si="148">IF(OR($CL62="",$CL63=""),"",IF($CL62&gt;$CL63,$CL62,$CL63))</f>
        <v/>
      </c>
      <c r="CO62" s="61">
        <f>IF(AND($BJ62&gt;=参照データ!$C$71,$BJ62&lt;=参照データ!$C$69),1,IF(AND($BJ62&gt;=参照データ!$C$74,$BJ62&lt;=参照データ!$C$72),2,IF(AND($BJ62&gt;=参照データ!$C$77,$BJ62&lt;=参照データ!$C$75),3,IF(AND($BJ62&gt;=参照データ!$C$80,$BJ62&lt;=参照データ!$C$78),4,IF(AND($BJ62&gt;=参照データ!$C$83,$BJ62&lt;=参照データ!$C$81),5,IF(AND($BJ62&gt;0,$BJ62&lt;=参照データ!$C$84),6,""))))))</f>
        <v>5</v>
      </c>
      <c r="CP62" s="160" t="str">
        <f>IF($Y62="オープン",(VLOOKUP($CO62,参照データ!$D$69:$J$86,2,0)),"")</f>
        <v/>
      </c>
      <c r="CQ62" s="79" t="str">
        <f t="shared" si="27"/>
        <v/>
      </c>
      <c r="CR62" s="78" t="str">
        <f>IF($AA62="オープン",(VLOOKUP($CO62,参照データ!$D$69:$J$86,3,0)),"")</f>
        <v/>
      </c>
      <c r="CS62" s="79" t="str">
        <f t="shared" si="28"/>
        <v/>
      </c>
      <c r="CT62" s="78" t="str">
        <f>IF($AC62="オープン",(VLOOKUP($CO62,参照データ!$D$69:$J$86,4,0)),"")</f>
        <v/>
      </c>
      <c r="CU62" s="79" t="str">
        <f t="shared" si="29"/>
        <v/>
      </c>
      <c r="CV62" s="78" t="str">
        <f>IF($AE62="オープン",(VLOOKUP($CO62,参照データ!$D$69:$J$86,5,0)),"")</f>
        <v/>
      </c>
      <c r="CW62" s="79" t="str">
        <f t="shared" si="7"/>
        <v/>
      </c>
      <c r="CX62" s="78" t="str">
        <f>IF($AG62="オープン",(VLOOKUP($CO62,参照データ!$D$69:$J$86,6,0)),"")</f>
        <v/>
      </c>
      <c r="CY62" s="79" t="str">
        <f t="shared" si="30"/>
        <v/>
      </c>
      <c r="CZ62" s="38" t="str">
        <f t="shared" si="31"/>
        <v/>
      </c>
      <c r="DA62" s="37" t="str">
        <f t="shared" si="32"/>
        <v/>
      </c>
      <c r="DB62" s="79" t="str">
        <f t="shared" si="33"/>
        <v/>
      </c>
      <c r="DC62" s="857">
        <v>26</v>
      </c>
      <c r="DD62" s="87" t="s">
        <v>136</v>
      </c>
      <c r="DE62" s="88" t="str">
        <f t="shared" si="34"/>
        <v/>
      </c>
      <c r="DF62" s="859" t="e">
        <f>IF($DE62&gt;$DE63,VLOOKUP($DE62,参照データ!$D$69:$J$86,7,0),VLOOKUP($DE63,参照データ!$D$69:$J$86,7,0))</f>
        <v>#N/A</v>
      </c>
      <c r="DG62" s="350" t="str">
        <f>IFERROR(VLOOKUP($DF62,参照データ!$J$69:$M$86,4,0),"")</f>
        <v/>
      </c>
      <c r="DH62" s="523">
        <f>IF(AND($BJ62&gt;=参照データ!$C$130,$BJ62&lt;=参照データ!$C$128),1,IF(AND($BJ62&gt;=参照データ!$C$133,$BJ62&lt;=参照データ!$C$131),2,IF(AND($BJ62&gt;=参照データ!$C$139,$BJ62&lt;=参照データ!$C$137),3,IF(AND($BJ62&gt;0,$BJ62&lt;=参照データ!$C$140),4,""))))</f>
        <v>1</v>
      </c>
      <c r="DI62" s="523">
        <f t="shared" si="35"/>
        <v>7</v>
      </c>
      <c r="DJ62" s="523" t="str">
        <f t="shared" si="36"/>
        <v/>
      </c>
      <c r="DK62" s="524" t="str">
        <f>IF($AN62="","",IF(AND($AN62="○",$BK62="男子"),VLOOKUP($DI62,参照データ!$D$128:$J$145,3,FALSE),VLOOKUP($DH62,参照データ!$D$128:$J$145,3,FALSE)))</f>
        <v/>
      </c>
      <c r="DL62" s="525" t="str">
        <f t="shared" si="37"/>
        <v/>
      </c>
      <c r="DM62" s="524" t="str">
        <f>IF($AP62="","",IF(AND($AP62="○",$BK62="男子"),VLOOKUP($DI62,参照データ!$D$128:$J$145,4,FALSE),VLOOKUP($DH62,参照データ!$D$128:$J$145,4,FALSE)))</f>
        <v/>
      </c>
      <c r="DN62" s="525" t="str">
        <f t="shared" si="38"/>
        <v/>
      </c>
      <c r="DO62" s="524" t="str">
        <f>IF($AR62="","",IF(AND($AR62="○",$BK62="男子"),VLOOKUP($DI62,参照データ!$D$128:$J$145,5,FALSE),VLOOKUP($DH62,参照データ!$D$128:$J$145,5,FALSE)))</f>
        <v/>
      </c>
      <c r="DP62" s="525" t="str">
        <f t="shared" si="39"/>
        <v/>
      </c>
      <c r="DQ62" s="524" t="str">
        <f>IF($AT62="","",IF(AND($AT62="○",$BK62="男子"),VLOOKUP($DI62,参照データ!$D$128:$J$145,6,FALSE),VLOOKUP($DH62,参照データ!$D$128:$J$145,6,FALSE)))</f>
        <v/>
      </c>
      <c r="DR62" s="525" t="str">
        <f t="shared" si="40"/>
        <v/>
      </c>
      <c r="DS62" s="526" t="str">
        <f t="shared" si="41"/>
        <v/>
      </c>
      <c r="DT62" s="527" t="str">
        <f t="shared" si="42"/>
        <v/>
      </c>
      <c r="DU62" s="528" t="str">
        <f t="shared" si="43"/>
        <v/>
      </c>
      <c r="DV62" s="982">
        <v>26</v>
      </c>
      <c r="DW62" s="533" t="s">
        <v>136</v>
      </c>
      <c r="DX62" s="534" t="str">
        <f t="shared" si="92"/>
        <v/>
      </c>
      <c r="DY62" s="877" t="e">
        <f>IF($DX62&gt;$DX63,VLOOKUP($DX62,参照データ!$D$128:$K$145,7,0),VLOOKUP($DX63,参照データ!$D$128:$K$145,7,0))</f>
        <v>#N/A</v>
      </c>
      <c r="DZ62" s="692" t="str">
        <f>IFERROR(VLOOKUP($DY62,参照データ!$J$128:$N$145,5,0),"")</f>
        <v/>
      </c>
      <c r="EA62" s="526" t="str">
        <f t="shared" si="85"/>
        <v/>
      </c>
      <c r="EB62" s="527" t="str">
        <f t="shared" si="86"/>
        <v/>
      </c>
      <c r="EC62" s="528" t="str">
        <f t="shared" si="87"/>
        <v/>
      </c>
      <c r="ED62" s="982">
        <v>26</v>
      </c>
      <c r="EE62" s="533" t="s">
        <v>136</v>
      </c>
      <c r="EF62" s="533" t="str">
        <f t="shared" si="88"/>
        <v/>
      </c>
      <c r="EG62" s="534" t="str">
        <f>IF(SUM(EF62:EF63)&lt;24,"",IF(SUM(EF62:EF63)&gt;=36,3,2))</f>
        <v/>
      </c>
      <c r="EH62" s="877" t="e">
        <f>IF($EG62&gt;$EG63,VLOOKUP($EG62,参照データ!$D$128:$K$145,8,0),VLOOKUP($EG63,参照データ!$D$128:$K$145,8,0))</f>
        <v>#N/A</v>
      </c>
      <c r="EI62" s="527" t="str">
        <f>IFERROR(VLOOKUP($EH62,参照データ!$K$128:$N$145,4,0),"")</f>
        <v/>
      </c>
      <c r="EJ62" s="555" t="str">
        <f t="shared" si="13"/>
        <v/>
      </c>
      <c r="EK62" s="556" t="str">
        <f t="shared" si="44"/>
        <v/>
      </c>
      <c r="EL62" s="845">
        <v>6</v>
      </c>
      <c r="EM62" s="561" t="s">
        <v>822</v>
      </c>
      <c r="EN62" s="566" t="str">
        <f t="shared" si="45"/>
        <v/>
      </c>
      <c r="EO62" s="848" t="str">
        <f>IF(COUNTIF(EN62:EN71,"○")&gt;=1,"TT","")</f>
        <v/>
      </c>
      <c r="EP62" s="555" t="str">
        <f t="shared" si="115"/>
        <v/>
      </c>
      <c r="EQ62" s="556" t="str">
        <f t="shared" si="46"/>
        <v/>
      </c>
      <c r="ER62" s="845">
        <v>6</v>
      </c>
      <c r="ES62" s="561" t="s">
        <v>822</v>
      </c>
      <c r="ET62" s="566" t="str">
        <f t="shared" si="47"/>
        <v/>
      </c>
      <c r="EU62" s="848" t="str">
        <f>IF(COUNTIF(ET62:ET71,"○")&gt;=1,"FT","")</f>
        <v/>
      </c>
      <c r="EV62" s="38" t="str">
        <f t="shared" si="116"/>
        <v/>
      </c>
      <c r="EW62" s="552" t="str">
        <f t="shared" si="48"/>
        <v/>
      </c>
      <c r="EX62" s="833"/>
      <c r="EY62" s="559" t="s">
        <v>842</v>
      </c>
      <c r="EZ62" s="560" t="str">
        <f t="shared" si="49"/>
        <v/>
      </c>
      <c r="FA62" s="835"/>
      <c r="FB62" t="str">
        <f>IF($FC62="","",DATEDIF($BJ62,参照データ!$D$19,"Y"))</f>
        <v/>
      </c>
      <c r="FC62" s="298" t="str">
        <f>IFERROR(IF($BK62="男子",VLOOKUP($FJ62,参照データ!$D$92:$E$118,2,0),$FJ62),0)</f>
        <v/>
      </c>
      <c r="FD62" s="92" t="str">
        <f>IF($Y62="選手権",(VLOOKUP($FC62,参照データ!$D$92:$K$121,3,0)),"")</f>
        <v/>
      </c>
      <c r="FE62" s="93" t="str">
        <f t="shared" si="117"/>
        <v/>
      </c>
      <c r="FF62" s="92" t="str">
        <f>IF($AA62="選手権",(VLOOKUP($FC62,参照データ!$D$92:$K$121,4,0)),"")</f>
        <v/>
      </c>
      <c r="FG62" s="93" t="str">
        <f t="shared" si="118"/>
        <v/>
      </c>
      <c r="FH62" s="92" t="str">
        <f>IF($AC62="選手権",(VLOOKUP($FC62,参照データ!$D$92:$K$121,5,0)),"")</f>
        <v/>
      </c>
      <c r="FI62" s="93" t="str">
        <f t="shared" si="119"/>
        <v/>
      </c>
      <c r="FJ62" s="61" t="str">
        <f>IF(AND($BJ62&gt;=参照データ!$C$94,$BJ62&lt;=参照データ!$C$92),1,IF(AND($BJ62&gt;=参照データ!$C$97,$BJ62&lt;=参照データ!$C$95),2,IF(AND($BJ62&gt;=参照データ!$C$103,$BJ62&lt;=参照データ!$C$101),3,IF(AND($BJ62&gt;=参照データ!$C$109,$BJ62&lt;=参照データ!$C$107),4,IF(AND($BJ62&gt;=参照データ!$C$115,$BJ62&lt;=参照データ!$C$113),5,IF(AND($BJ62&gt;0,$BJ62&lt;=参照データ!$C$116),6,""))))))</f>
        <v/>
      </c>
      <c r="FK62" s="92" t="str">
        <f>IF($AE62="選手権",(VLOOKUP($FJ62,参照データ!$D$92:$K$121,6,0)),"")</f>
        <v/>
      </c>
      <c r="FL62" s="93" t="str">
        <f t="shared" si="19"/>
        <v/>
      </c>
      <c r="FM62" s="92" t="str">
        <f>IF($AG62="選手権",(VLOOKUP($FJ62,参照データ!$D$92:$K$121,7,0)),"")</f>
        <v/>
      </c>
      <c r="FN62" s="93" t="str">
        <f t="shared" si="50"/>
        <v/>
      </c>
      <c r="FO62" s="38" t="str">
        <f t="shared" si="51"/>
        <v/>
      </c>
      <c r="FP62" s="37" t="str">
        <f t="shared" si="52"/>
        <v/>
      </c>
      <c r="FQ62" s="93" t="str">
        <f t="shared" si="53"/>
        <v/>
      </c>
      <c r="FR62" s="979">
        <v>26</v>
      </c>
      <c r="FS62" s="101" t="s">
        <v>136</v>
      </c>
      <c r="FT62" s="102" t="str">
        <f t="shared" si="120"/>
        <v/>
      </c>
      <c r="FU62" s="980" t="e">
        <f>IF($FT62&gt;$FT63,VLOOKUP($FT62,参照データ!$D$92:$K$121,8,0),VLOOKUP($FT63,参照データ!$D$92:$K$121,8,0))</f>
        <v>#N/A</v>
      </c>
      <c r="FV62" s="356" t="str">
        <f>IFERROR(VLOOKUP($FU62,参照データ!$K$92:$O$121,5,0),"")</f>
        <v/>
      </c>
      <c r="FY62" s="40">
        <f>(COUNTIF($J62:$O62,"&lt;&gt;"))*参照データ!$E$3</f>
        <v>0</v>
      </c>
      <c r="FZ62" s="267" t="str">
        <f>IF($P62="○",参照データ!$E$4,"")</f>
        <v/>
      </c>
      <c r="GA62" s="19">
        <f>(SUM(COUNTIF($Q62:$U62,{"入門","初級"}))*参照データ!$E$9)+(SUM(COUNTIF($Q62:$U62,{"中級","上級"})*参照データ!$E$10))</f>
        <v>0</v>
      </c>
      <c r="GB62" s="19">
        <f>IFERROR(VLOOKUP($V62,参照データ!$D$9:$J$11,7,0),0)</f>
        <v>0</v>
      </c>
      <c r="GC62" s="19">
        <f>((COUNTIF($Y62:$AG62,"オープン"))*参照データ!$E$12)</f>
        <v>0</v>
      </c>
      <c r="GD62" s="19" t="str">
        <f>(IF($AI62="オープン",参照データ!$J$12,""))</f>
        <v/>
      </c>
      <c r="GE62" s="19">
        <f>(COUNTIF($AN62:$AU62,"○")*参照データ!$E$22)</f>
        <v>0</v>
      </c>
      <c r="GF62" s="19">
        <f>(COUNTIF($AV62:$BA62,"○")*参照データ!$I$22)</f>
        <v>0</v>
      </c>
      <c r="GI62" s="19">
        <f>((COUNTIF($Y62:$AG62,"選手権"))*参照データ!$E$13)</f>
        <v>0</v>
      </c>
      <c r="GJ62" s="19" t="str">
        <f>(IF($AI62="選手権",参照データ!$J$13,""))</f>
        <v/>
      </c>
      <c r="GK62" s="106">
        <f t="array" ref="GK62">SUM(IF(ISERROR(FY62:GJ62),0,(FY62:GJ62)))</f>
        <v>0</v>
      </c>
      <c r="GL62" s="19"/>
      <c r="GM62" s="19">
        <f t="shared" si="54"/>
        <v>0</v>
      </c>
      <c r="GN62" s="19">
        <f t="shared" si="55"/>
        <v>0</v>
      </c>
      <c r="GO62" s="19">
        <f t="shared" si="56"/>
        <v>0</v>
      </c>
      <c r="GP62" s="19">
        <f t="shared" si="121"/>
        <v>0</v>
      </c>
      <c r="GQ62" s="19">
        <f t="shared" si="57"/>
        <v>0</v>
      </c>
      <c r="GR62" s="19">
        <f t="shared" si="58"/>
        <v>0</v>
      </c>
      <c r="GS62" s="19">
        <f t="shared" si="59"/>
        <v>0</v>
      </c>
      <c r="GT62" s="19">
        <f t="shared" si="60"/>
        <v>0</v>
      </c>
      <c r="GU62" s="19">
        <f t="shared" si="61"/>
        <v>0</v>
      </c>
      <c r="GV62" t="str">
        <f t="shared" si="122"/>
        <v/>
      </c>
      <c r="GW62" t="str">
        <f t="shared" si="62"/>
        <v/>
      </c>
      <c r="GX62" t="str">
        <f t="shared" si="123"/>
        <v/>
      </c>
      <c r="GY62" t="str">
        <f t="shared" si="63"/>
        <v/>
      </c>
      <c r="GZ62" t="str">
        <f t="shared" si="124"/>
        <v/>
      </c>
    </row>
    <row r="63" spans="1:208" ht="18.75" customHeight="1" x14ac:dyDescent="0.15">
      <c r="A63">
        <v>52</v>
      </c>
      <c r="B63" s="15" t="str">
        <f>IF(D63="","",IF(D63="重複","",COUNTIF(B$12:$B62,"&gt;0")+1))</f>
        <v/>
      </c>
      <c r="C63" s="713"/>
      <c r="D63" s="185"/>
      <c r="E63" s="185"/>
      <c r="F63" s="36"/>
      <c r="G63" s="47"/>
      <c r="H63" s="402">
        <f t="shared" si="112"/>
        <v>0</v>
      </c>
      <c r="I63" s="201" t="str">
        <f>IF($BJ63=0,"",DATEDIF($BJ63,参照データ!$D$16,"Y"))</f>
        <v/>
      </c>
      <c r="J63" s="41"/>
      <c r="K63" s="41"/>
      <c r="L63" s="41"/>
      <c r="M63" s="41"/>
      <c r="N63" s="41"/>
      <c r="O63" s="49"/>
      <c r="P63" s="395"/>
      <c r="Q63" s="51"/>
      <c r="R63" s="289"/>
      <c r="S63" s="289"/>
      <c r="T63" s="289"/>
      <c r="U63" s="290"/>
      <c r="V63" s="293"/>
      <c r="W63" s="295"/>
      <c r="Y63" s="446"/>
      <c r="Z63" s="396" t="str">
        <f>IF($Y63="オープン",VLOOKUP($CO63,参照データ!$D$69:$M$86,9,0),IF($Y63="選手権",VLOOKUP($FC63,参照データ!$D$92:$O$121,10,0),""))</f>
        <v/>
      </c>
      <c r="AA63" s="446"/>
      <c r="AB63" s="666" t="str">
        <f>IF($AA63="オープン",VLOOKUP($CO63,参照データ!$D$69:$M$86,10,0),IF($AA63="選手権",VLOOKUP($FC63,参照データ!$D$92:$O$121,11,0),""))</f>
        <v/>
      </c>
      <c r="AC63" s="669"/>
      <c r="AD63" s="396" t="str">
        <f>IF($AC63="オープン",VLOOKUP($CO63,参照データ!$D$69:$M$86,10,0),IF($AC63="選手権",VLOOKUP($FC63,参照データ!$D$92:$O$121,11,0),""))</f>
        <v/>
      </c>
      <c r="AE63" s="446"/>
      <c r="AF63" s="396" t="str">
        <f>IF($AE63="オープン",VLOOKUP($CO63,参照データ!$D$69:$M$86,10,0),IF($AE63="選手権",VLOOKUP($FJ63,参照データ!$D$92:$O$121,12,0),""))</f>
        <v/>
      </c>
      <c r="AG63" s="446"/>
      <c r="AH63" s="396" t="str">
        <f>IF($AG63="オープン",VLOOKUP($CO63,参照データ!$D$69:$M$86,10,0),IF($AG63="選手権",VLOOKUP($FJ63,参照データ!$D$92:$O$121,12,0),""))</f>
        <v/>
      </c>
      <c r="AI63" s="446"/>
      <c r="AJ63" s="449"/>
      <c r="AK63" s="396" t="str">
        <f t="shared" si="113"/>
        <v/>
      </c>
      <c r="AL63" s="587"/>
      <c r="AM63" s="588" t="str">
        <f>IF($BJ63=0,"",DATEDIF($BJ63,参照データ!$D$17,"Y"))</f>
        <v/>
      </c>
      <c r="AN63" s="450"/>
      <c r="AO63" s="591" t="str">
        <f>IF(AN63="","",IF($BK63="男子",VLOOKUP($DI63,参照データ!$D$128:$M$145,10,FALSE),VLOOKUP($DH63,参照データ!$D$128:$M$145,10,FALSE)))</f>
        <v/>
      </c>
      <c r="AP63" s="450"/>
      <c r="AQ63" s="591" t="str">
        <f>IF(AP63="","",IF($BK63="男子",VLOOKUP($DI63,参照データ!$D$128:$M$145,10,FALSE),VLOOKUP($DH63,参照データ!$D$128:$M$145,10,FALSE)))</f>
        <v/>
      </c>
      <c r="AR63" s="450"/>
      <c r="AS63" s="591" t="str">
        <f>IF(AR63="","",IF($BK63="男子",VLOOKUP($DI63,参照データ!$D$128:$M$145,10,FALSE),VLOOKUP($DH63,参照データ!$D$128:$M$145,10,FALSE)))</f>
        <v/>
      </c>
      <c r="AT63" s="450"/>
      <c r="AU63" s="591" t="str">
        <f>IF(AT63="","",IF($BK63="男子",VLOOKUP($DI63,参照データ!$D$128:$M$145,10,FALSE),VLOOKUP($DH63,参照データ!$D$128:$M$145,10,FALSE)))</f>
        <v/>
      </c>
      <c r="AV63" s="448"/>
      <c r="AW63" s="448"/>
      <c r="AX63" s="585" t="str">
        <f t="shared" si="25"/>
        <v/>
      </c>
      <c r="AY63" s="448"/>
      <c r="AZ63" s="448"/>
      <c r="BA63" s="585" t="str">
        <f t="shared" si="83"/>
        <v/>
      </c>
      <c r="BB63" s="677"/>
      <c r="BC63" s="724"/>
      <c r="BD63" s="640"/>
      <c r="BE63" s="482"/>
      <c r="BF63" s="365"/>
      <c r="BG63" s="366"/>
      <c r="BJ63">
        <f t="shared" si="75"/>
        <v>0</v>
      </c>
      <c r="BK63" t="str">
        <f t="shared" si="65"/>
        <v/>
      </c>
      <c r="BL63" s="146"/>
      <c r="BO63" s="61" t="str">
        <f>IF($BJ63=0,"",IF(AND($I63&gt;=6,$I63&lt;=19),VLOOKUP($I63,参照データ!$B$28:$C$41,2,0),IF($I63&lt;6,6,19)))</f>
        <v/>
      </c>
      <c r="BP63" s="178" t="str">
        <f>IF($J63=$BI$12,VLOOKUP($BO63,参照データ!$C$28:$I$41,2,0),"")</f>
        <v/>
      </c>
      <c r="BQ63" s="169" t="str">
        <f>IF($K63=$BI$12,VLOOKUP($BO63,参照データ!$C$28:$I$41,3,0),"")</f>
        <v/>
      </c>
      <c r="BR63" s="169" t="str">
        <f>IF($L63=$BI$12,VLOOKUP($BO63,参照データ!$C$28:$I$41,4,0),"")</f>
        <v/>
      </c>
      <c r="BS63" s="169" t="str">
        <f>IF($M63=$BI$12,VLOOKUP($BO63,参照データ!$C$28:$I$41,5,0),"")</f>
        <v/>
      </c>
      <c r="BT63" s="169" t="str">
        <f>IF($N63=$BI$12,VLOOKUP($BO63,参照データ!$C$28:$I$41,6,0),"")</f>
        <v/>
      </c>
      <c r="BU63" s="179" t="str">
        <f>IF($O63=$BI$12,VLOOKUP($BO63,参照データ!$C$28:$I$41,7,0),"")</f>
        <v/>
      </c>
      <c r="BV63" s="178" t="str">
        <f>IF($J63=$BI$13,VLOOKUP($BO63,参照データ!$C$28:$I$41,2,0),"")</f>
        <v/>
      </c>
      <c r="BW63" s="169" t="str">
        <f>IF($K63=$BI$13,VLOOKUP($BO63,参照データ!$C$28:$I$41,3,0),"")</f>
        <v/>
      </c>
      <c r="BX63" s="169" t="str">
        <f>IF($L63=$BI$13,VLOOKUP($BO63,参照データ!$C$28:$I$41,4,0),"")</f>
        <v/>
      </c>
      <c r="BY63" s="169" t="str">
        <f>IF($M63=$BI$13,VLOOKUP($BO63,参照データ!$C$28:$I$41,5,0),"")</f>
        <v/>
      </c>
      <c r="BZ63" s="169" t="str">
        <f>IF($N63=$BI$13,VLOOKUP($BO63,参照データ!$C$28:$I$41,6,0),"")</f>
        <v/>
      </c>
      <c r="CA63" s="179" t="str">
        <f>IF($O63=$BI$13,VLOOKUP($BO63,参照データ!$C$28:$I$41,7,0),"")</f>
        <v/>
      </c>
      <c r="CB63" s="271" t="str">
        <f t="shared" si="26"/>
        <v/>
      </c>
      <c r="CC63" s="177" t="str">
        <f>IF($Q63="入門",VLOOKUP($BO63,参照データ!$C$47:$U$60,2,0),IF($Q63="初級",VLOOKUP($BO63,参照データ!$C$47:$U$60,3,0),IF($Q63="中級",VLOOKUP($BO63,参照データ!$C$47:$U$60,4,0),IF($Q63="上級",VLOOKUP($BO63,参照データ!$C$47:$U$60,5,0),""))))</f>
        <v/>
      </c>
      <c r="CD63" s="177" t="str">
        <f>IF($R63="初級",VLOOKUP($BO63,参照データ!$C$47:$U$60,6,0),IF($R63="中級",VLOOKUP($BO63,参照データ!$C$47:$U$60,7,0),IF($R63="上級",VLOOKUP($BO63,参照データ!$C$47:$U$60,8,0),"")))</f>
        <v/>
      </c>
      <c r="CE63" s="177" t="str">
        <f>IF($S63="初級",VLOOKUP($BO63,参照データ!$C$47:$U$60,9,0),IF($S63="上級",VLOOKUP($BO63,参照データ!$C$47:$U$60,10,0),""))</f>
        <v/>
      </c>
      <c r="CF63" s="177" t="str">
        <f>IF($T63="初級",VLOOKUP($BO63,参照データ!$C$47:$U$60,11,0),IF($T63="中級",VLOOKUP($BO63,参照データ!$C$47:$U$60,12,0),IF($T63="上級",VLOOKUP($BO63,参照データ!$C$47:$U$60,13,0),"")))</f>
        <v/>
      </c>
      <c r="CG63" s="177" t="str">
        <f>IF($U63="初級",VLOOKUP($BO63,参照データ!$C$47:$U$60,14,0),IF($U63="中級",VLOOKUP($BO63,参照データ!$C$47:$U$60,15,0),IF($U63="上級",VLOOKUP($BO63,参照データ!$C$47:$U$60,16,0),"")))</f>
        <v/>
      </c>
      <c r="CH63" s="55" t="str">
        <f t="shared" si="5"/>
        <v/>
      </c>
      <c r="CI63" s="55" t="str">
        <f>IF($V63="初級",VLOOKUP($BO63,参照データ!$C$47:$U$60,17,0),IF($V63="中級",VLOOKUP($BO63,参照データ!$C$47:$U$60,18,0),IF($V63="上級",VLOOKUP($BO63,参照データ!$C$47:$U$60,19,0),"")))</f>
        <v/>
      </c>
      <c r="CJ63" s="868"/>
      <c r="CK63" s="73" t="s">
        <v>287</v>
      </c>
      <c r="CL63" s="150" t="str">
        <f t="shared" si="6"/>
        <v/>
      </c>
      <c r="CM63" s="872"/>
      <c r="CO63" s="61">
        <f>IF(AND($BJ63&gt;=参照データ!$C$71,$BJ63&lt;=参照データ!$C$69),1,IF(AND($BJ63&gt;=参照データ!$C$74,$BJ63&lt;=参照データ!$C$72),2,IF(AND($BJ63&gt;=参照データ!$C$77,$BJ63&lt;=参照データ!$C$75),3,IF(AND($BJ63&gt;=参照データ!$C$80,$BJ63&lt;=参照データ!$C$78),4,IF(AND($BJ63&gt;=参照データ!$C$83,$BJ63&lt;=参照データ!$C$81),5,IF(AND($BJ63&gt;0,$BJ63&lt;=参照データ!$C$84),6,""))))))</f>
        <v>5</v>
      </c>
      <c r="CP63" s="160" t="str">
        <f>IF($Y63="オープン",(VLOOKUP($CO63,参照データ!$D$69:$J$86,2,0)),"")</f>
        <v/>
      </c>
      <c r="CQ63" s="79" t="str">
        <f t="shared" si="27"/>
        <v/>
      </c>
      <c r="CR63" s="78" t="str">
        <f>IF($AA63="オープン",(VLOOKUP($CO63,参照データ!$D$69:$J$86,3,0)),"")</f>
        <v/>
      </c>
      <c r="CS63" s="79" t="str">
        <f t="shared" si="28"/>
        <v/>
      </c>
      <c r="CT63" s="78" t="str">
        <f>IF($AC63="オープン",(VLOOKUP($CO63,参照データ!$D$69:$J$86,4,0)),"")</f>
        <v/>
      </c>
      <c r="CU63" s="79" t="str">
        <f t="shared" si="29"/>
        <v/>
      </c>
      <c r="CV63" s="78" t="str">
        <f>IF($AE63="オープン",(VLOOKUP($CO63,参照データ!$D$69:$J$86,5,0)),"")</f>
        <v/>
      </c>
      <c r="CW63" s="79" t="str">
        <f t="shared" si="7"/>
        <v/>
      </c>
      <c r="CX63" s="78" t="str">
        <f>IF($AG63="オープン",(VLOOKUP($CO63,参照データ!$D$69:$J$86,6,0)),"")</f>
        <v/>
      </c>
      <c r="CY63" s="79" t="str">
        <f t="shared" si="30"/>
        <v/>
      </c>
      <c r="CZ63" s="38" t="str">
        <f t="shared" si="31"/>
        <v/>
      </c>
      <c r="DA63" s="37" t="str">
        <f t="shared" si="32"/>
        <v/>
      </c>
      <c r="DB63" s="79" t="str">
        <f t="shared" si="33"/>
        <v/>
      </c>
      <c r="DC63" s="858"/>
      <c r="DD63" s="85" t="s">
        <v>137</v>
      </c>
      <c r="DE63" s="86" t="str">
        <f t="shared" si="34"/>
        <v/>
      </c>
      <c r="DF63" s="860"/>
      <c r="DG63" s="350" t="str">
        <f t="shared" ref="DG63" si="149">$DG62</f>
        <v/>
      </c>
      <c r="DH63" s="523">
        <f>IF(AND($BJ63&gt;=参照データ!$C$130,$BJ63&lt;=参照データ!$C$128),1,IF(AND($BJ63&gt;=参照データ!$C$133,$BJ63&lt;=参照データ!$C$131),2,IF(AND($BJ63&gt;=参照データ!$C$139,$BJ63&lt;=参照データ!$C$137),3,IF(AND($BJ63&gt;0,$BJ63&lt;=参照データ!$C$140),4,""))))</f>
        <v>1</v>
      </c>
      <c r="DI63" s="523">
        <f t="shared" si="35"/>
        <v>7</v>
      </c>
      <c r="DJ63" s="523" t="str">
        <f t="shared" si="36"/>
        <v/>
      </c>
      <c r="DK63" s="524" t="str">
        <f>IF($AN63="","",IF(AND($AN63="○",$BK63="男子"),VLOOKUP($DI63,参照データ!$D$128:$J$145,3,FALSE),VLOOKUP($DH63,参照データ!$D$128:$J$145,3,FALSE)))</f>
        <v/>
      </c>
      <c r="DL63" s="525" t="str">
        <f t="shared" si="37"/>
        <v/>
      </c>
      <c r="DM63" s="524" t="str">
        <f>IF($AP63="","",IF(AND($AP63="○",$BK63="男子"),VLOOKUP($DI63,参照データ!$D$128:$J$145,4,FALSE),VLOOKUP($DH63,参照データ!$D$128:$J$145,4,FALSE)))</f>
        <v/>
      </c>
      <c r="DN63" s="525" t="str">
        <f t="shared" si="38"/>
        <v/>
      </c>
      <c r="DO63" s="524" t="str">
        <f>IF($AR63="","",IF(AND($AR63="○",$BK63="男子"),VLOOKUP($DI63,参照データ!$D$128:$J$145,5,FALSE),VLOOKUP($DH63,参照データ!$D$128:$J$145,5,FALSE)))</f>
        <v/>
      </c>
      <c r="DP63" s="525" t="str">
        <f t="shared" si="39"/>
        <v/>
      </c>
      <c r="DQ63" s="524" t="str">
        <f>IF($AT63="","",IF(AND($AT63="○",$BK63="男子"),VLOOKUP($DI63,参照データ!$D$128:$J$145,6,FALSE),VLOOKUP($DH63,参照データ!$D$128:$J$145,6,FALSE)))</f>
        <v/>
      </c>
      <c r="DR63" s="525" t="str">
        <f t="shared" si="40"/>
        <v/>
      </c>
      <c r="DS63" s="526" t="str">
        <f t="shared" si="41"/>
        <v/>
      </c>
      <c r="DT63" s="527" t="str">
        <f t="shared" si="42"/>
        <v/>
      </c>
      <c r="DU63" s="528" t="str">
        <f t="shared" si="43"/>
        <v/>
      </c>
      <c r="DV63" s="983"/>
      <c r="DW63" s="531" t="s">
        <v>137</v>
      </c>
      <c r="DX63" s="532" t="str">
        <f t="shared" si="92"/>
        <v/>
      </c>
      <c r="DY63" s="994"/>
      <c r="DZ63" s="692" t="str">
        <f>$DZ62</f>
        <v/>
      </c>
      <c r="EA63" s="526" t="str">
        <f t="shared" si="85"/>
        <v/>
      </c>
      <c r="EB63" s="527" t="str">
        <f t="shared" si="86"/>
        <v/>
      </c>
      <c r="EC63" s="528" t="str">
        <f t="shared" si="87"/>
        <v/>
      </c>
      <c r="ED63" s="983"/>
      <c r="EE63" s="531" t="s">
        <v>137</v>
      </c>
      <c r="EF63" s="531" t="str">
        <f t="shared" si="88"/>
        <v/>
      </c>
      <c r="EG63" s="532" t="str">
        <f>IF(SUM(EF62:EF63)&lt;24,"",IF(SUM(EF62:EF63)&gt;=36,3,2))</f>
        <v/>
      </c>
      <c r="EH63" s="994"/>
      <c r="EI63" s="527" t="str">
        <f>$EI62</f>
        <v/>
      </c>
      <c r="EJ63" s="555" t="str">
        <f t="shared" si="13"/>
        <v/>
      </c>
      <c r="EK63" s="556" t="str">
        <f t="shared" si="44"/>
        <v/>
      </c>
      <c r="EL63" s="846"/>
      <c r="EM63" s="561" t="s">
        <v>823</v>
      </c>
      <c r="EN63" s="562" t="str">
        <f t="shared" si="45"/>
        <v/>
      </c>
      <c r="EO63" s="849"/>
      <c r="EP63" s="555" t="str">
        <f t="shared" si="115"/>
        <v/>
      </c>
      <c r="EQ63" s="556" t="str">
        <f t="shared" si="46"/>
        <v/>
      </c>
      <c r="ER63" s="846"/>
      <c r="ES63" s="561" t="s">
        <v>823</v>
      </c>
      <c r="ET63" s="562" t="str">
        <f t="shared" si="47"/>
        <v/>
      </c>
      <c r="EU63" s="849"/>
      <c r="EV63" s="38" t="str">
        <f t="shared" si="116"/>
        <v/>
      </c>
      <c r="EW63" s="552" t="str">
        <f t="shared" si="48"/>
        <v/>
      </c>
      <c r="EX63" s="833"/>
      <c r="EY63" s="559" t="s">
        <v>843</v>
      </c>
      <c r="EZ63" s="560" t="str">
        <f t="shared" si="49"/>
        <v/>
      </c>
      <c r="FA63" s="835"/>
      <c r="FB63" t="str">
        <f>IF($FC63="","",DATEDIF($BJ63,参照データ!$D$19,"Y"))</f>
        <v/>
      </c>
      <c r="FC63" s="298" t="str">
        <f>IFERROR(IF($BK63="男子",VLOOKUP($FJ63,参照データ!$D$92:$E$118,2,0),$FJ63),0)</f>
        <v/>
      </c>
      <c r="FD63" s="92" t="str">
        <f>IF($Y63="選手権",(VLOOKUP($FC63,参照データ!$D$92:$K$121,3,0)),"")</f>
        <v/>
      </c>
      <c r="FE63" s="93" t="str">
        <f t="shared" si="117"/>
        <v/>
      </c>
      <c r="FF63" s="92" t="str">
        <f>IF($AA63="選手権",(VLOOKUP($FC63,参照データ!$D$92:$K$121,4,0)),"")</f>
        <v/>
      </c>
      <c r="FG63" s="93" t="str">
        <f t="shared" si="118"/>
        <v/>
      </c>
      <c r="FH63" s="92" t="str">
        <f>IF($AC63="選手権",(VLOOKUP($FC63,参照データ!$D$92:$K$121,5,0)),"")</f>
        <v/>
      </c>
      <c r="FI63" s="93" t="str">
        <f t="shared" si="119"/>
        <v/>
      </c>
      <c r="FJ63" s="61" t="str">
        <f>IF(AND($BJ63&gt;=参照データ!$C$94,$BJ63&lt;=参照データ!$C$92),1,IF(AND($BJ63&gt;=参照データ!$C$97,$BJ63&lt;=参照データ!$C$95),2,IF(AND($BJ63&gt;=参照データ!$C$103,$BJ63&lt;=参照データ!$C$101),3,IF(AND($BJ63&gt;=参照データ!$C$109,$BJ63&lt;=参照データ!$C$107),4,IF(AND($BJ63&gt;=参照データ!$C$115,$BJ63&lt;=参照データ!$C$113),5,IF(AND($BJ63&gt;0,$BJ63&lt;=参照データ!$C$116),6,""))))))</f>
        <v/>
      </c>
      <c r="FK63" s="92" t="str">
        <f>IF($AE63="選手権",(VLOOKUP($FJ63,参照データ!$D$92:$K$121,6,0)),"")</f>
        <v/>
      </c>
      <c r="FL63" s="93" t="str">
        <f t="shared" si="19"/>
        <v/>
      </c>
      <c r="FM63" s="92" t="str">
        <f>IF($AG63="選手権",(VLOOKUP($FJ63,参照データ!$D$92:$K$121,7,0)),"")</f>
        <v/>
      </c>
      <c r="FN63" s="93" t="str">
        <f t="shared" si="50"/>
        <v/>
      </c>
      <c r="FO63" s="38" t="str">
        <f t="shared" si="51"/>
        <v/>
      </c>
      <c r="FP63" s="37" t="str">
        <f t="shared" si="52"/>
        <v/>
      </c>
      <c r="FQ63" s="93" t="str">
        <f t="shared" si="53"/>
        <v/>
      </c>
      <c r="FR63" s="976"/>
      <c r="FS63" s="99" t="s">
        <v>137</v>
      </c>
      <c r="FT63" s="100" t="str">
        <f t="shared" si="120"/>
        <v/>
      </c>
      <c r="FU63" s="978"/>
      <c r="FV63" s="356" t="str">
        <f t="shared" ref="FV63" si="150">$FV62</f>
        <v/>
      </c>
      <c r="FY63" s="40">
        <f>(COUNTIF($J63:$O63,"&lt;&gt;"))*参照データ!$E$3</f>
        <v>0</v>
      </c>
      <c r="FZ63" s="267" t="str">
        <f>IF($P63="○",参照データ!$E$4,"")</f>
        <v/>
      </c>
      <c r="GA63" s="19">
        <f>(SUM(COUNTIF($Q63:$U63,{"入門","初級"}))*参照データ!$E$9)+(SUM(COUNTIF($Q63:$U63,{"中級","上級"})*参照データ!$E$10))</f>
        <v>0</v>
      </c>
      <c r="GB63" s="19">
        <f>IFERROR(VLOOKUP($V63,参照データ!$D$9:$J$11,7,0),0)</f>
        <v>0</v>
      </c>
      <c r="GC63" s="19">
        <f>((COUNTIF($Y63:$AG63,"オープン"))*参照データ!$E$12)</f>
        <v>0</v>
      </c>
      <c r="GD63" s="19" t="str">
        <f>(IF($AI63="オープン",参照データ!$J$12,""))</f>
        <v/>
      </c>
      <c r="GE63" s="19">
        <f>(COUNTIF($AN63:$AU63,"○")*参照データ!$E$22)</f>
        <v>0</v>
      </c>
      <c r="GF63" s="19">
        <f>(COUNTIF($AV63:$BA63,"○")*参照データ!$I$22)</f>
        <v>0</v>
      </c>
      <c r="GI63" s="19">
        <f>((COUNTIF($Y63:$AG63,"選手権"))*参照データ!$E$13)</f>
        <v>0</v>
      </c>
      <c r="GJ63" s="19" t="str">
        <f>(IF($AI63="選手権",参照データ!$J$13,""))</f>
        <v/>
      </c>
      <c r="GK63" s="106">
        <f t="array" ref="GK63">SUM(IF(ISERROR(FY63:GJ63),0,(FY63:GJ63)))</f>
        <v>0</v>
      </c>
      <c r="GL63" s="19"/>
      <c r="GM63" s="19">
        <f t="shared" si="54"/>
        <v>0</v>
      </c>
      <c r="GN63" s="19">
        <f t="shared" si="55"/>
        <v>0</v>
      </c>
      <c r="GO63" s="19">
        <f t="shared" si="56"/>
        <v>0</v>
      </c>
      <c r="GP63" s="19">
        <f t="shared" si="121"/>
        <v>0</v>
      </c>
      <c r="GQ63" s="19">
        <f t="shared" si="57"/>
        <v>0</v>
      </c>
      <c r="GR63" s="19">
        <f t="shared" si="58"/>
        <v>0</v>
      </c>
      <c r="GS63" s="19">
        <f t="shared" si="59"/>
        <v>0</v>
      </c>
      <c r="GT63" s="19">
        <f t="shared" si="60"/>
        <v>0</v>
      </c>
      <c r="GU63" s="19">
        <f t="shared" si="61"/>
        <v>0</v>
      </c>
      <c r="GV63" t="str">
        <f t="shared" si="122"/>
        <v/>
      </c>
      <c r="GW63" t="str">
        <f t="shared" si="62"/>
        <v/>
      </c>
      <c r="GX63" t="str">
        <f t="shared" si="123"/>
        <v/>
      </c>
      <c r="GY63" t="str">
        <f t="shared" si="63"/>
        <v/>
      </c>
      <c r="GZ63" t="str">
        <f t="shared" si="124"/>
        <v/>
      </c>
    </row>
    <row r="64" spans="1:208" ht="18.75" customHeight="1" x14ac:dyDescent="0.15">
      <c r="A64">
        <v>53</v>
      </c>
      <c r="B64" s="15" t="str">
        <f>IF(D64="","",IF(D64="重複","",COUNTIF(B$12:$B63,"&gt;0")+1))</f>
        <v/>
      </c>
      <c r="C64" s="713"/>
      <c r="D64" s="185"/>
      <c r="E64" s="185"/>
      <c r="F64" s="36"/>
      <c r="G64" s="47"/>
      <c r="H64" s="402">
        <f t="shared" si="112"/>
        <v>0</v>
      </c>
      <c r="I64" s="201" t="str">
        <f>IF($BJ64=0,"",DATEDIF($BJ64,参照データ!$D$16,"Y"))</f>
        <v/>
      </c>
      <c r="J64" s="41"/>
      <c r="K64" s="41"/>
      <c r="L64" s="41"/>
      <c r="M64" s="41"/>
      <c r="N64" s="41"/>
      <c r="O64" s="49"/>
      <c r="P64" s="395"/>
      <c r="Q64" s="51"/>
      <c r="R64" s="289"/>
      <c r="S64" s="289"/>
      <c r="T64" s="289"/>
      <c r="U64" s="290"/>
      <c r="V64" s="293"/>
      <c r="W64" s="295"/>
      <c r="Y64" s="446"/>
      <c r="Z64" s="396" t="str">
        <f>IF($Y64="オープン",VLOOKUP($CO64,参照データ!$D$69:$M$86,9,0),IF($Y64="選手権",VLOOKUP($FC64,参照データ!$D$92:$O$121,10,0),""))</f>
        <v/>
      </c>
      <c r="AA64" s="446"/>
      <c r="AB64" s="666" t="str">
        <f>IF($AA64="オープン",VLOOKUP($CO64,参照データ!$D$69:$M$86,10,0),IF($AA64="選手権",VLOOKUP($FC64,参照データ!$D$92:$O$121,11,0),""))</f>
        <v/>
      </c>
      <c r="AC64" s="669"/>
      <c r="AD64" s="396" t="str">
        <f>IF($AC64="オープン",VLOOKUP($CO64,参照データ!$D$69:$M$86,10,0),IF($AC64="選手権",VLOOKUP($FC64,参照データ!$D$92:$O$121,11,0),""))</f>
        <v/>
      </c>
      <c r="AE64" s="446"/>
      <c r="AF64" s="396" t="str">
        <f>IF($AE64="オープン",VLOOKUP($CO64,参照データ!$D$69:$M$86,10,0),IF($AE64="選手権",VLOOKUP($FJ64,参照データ!$D$92:$O$121,12,0),""))</f>
        <v/>
      </c>
      <c r="AG64" s="446"/>
      <c r="AH64" s="396" t="str">
        <f>IF($AG64="オープン",VLOOKUP($CO64,参照データ!$D$69:$M$86,10,0),IF($AG64="選手権",VLOOKUP($FJ64,参照データ!$D$92:$O$121,12,0),""))</f>
        <v/>
      </c>
      <c r="AI64" s="446"/>
      <c r="AJ64" s="449"/>
      <c r="AK64" s="396" t="str">
        <f t="shared" si="113"/>
        <v/>
      </c>
      <c r="AL64" s="587"/>
      <c r="AM64" s="588" t="str">
        <f>IF($BJ64=0,"",DATEDIF($BJ64,参照データ!$D$17,"Y"))</f>
        <v/>
      </c>
      <c r="AN64" s="450"/>
      <c r="AO64" s="591" t="str">
        <f>IF(AN64="","",IF($BK64="男子",VLOOKUP($DI64,参照データ!$D$128:$M$145,10,FALSE),VLOOKUP($DH64,参照データ!$D$128:$M$145,10,FALSE)))</f>
        <v/>
      </c>
      <c r="AP64" s="450"/>
      <c r="AQ64" s="591" t="str">
        <f>IF(AP64="","",IF($BK64="男子",VLOOKUP($DI64,参照データ!$D$128:$M$145,10,FALSE),VLOOKUP($DH64,参照データ!$D$128:$M$145,10,FALSE)))</f>
        <v/>
      </c>
      <c r="AR64" s="450"/>
      <c r="AS64" s="591" t="str">
        <f>IF(AR64="","",IF($BK64="男子",VLOOKUP($DI64,参照データ!$D$128:$M$145,10,FALSE),VLOOKUP($DH64,参照データ!$D$128:$M$145,10,FALSE)))</f>
        <v/>
      </c>
      <c r="AT64" s="450"/>
      <c r="AU64" s="591" t="str">
        <f>IF(AT64="","",IF($BK64="男子",VLOOKUP($DI64,参照データ!$D$128:$M$145,10,FALSE),VLOOKUP($DH64,参照データ!$D$128:$M$145,10,FALSE)))</f>
        <v/>
      </c>
      <c r="AV64" s="448"/>
      <c r="AW64" s="448"/>
      <c r="AX64" s="585" t="str">
        <f t="shared" si="25"/>
        <v/>
      </c>
      <c r="AY64" s="448"/>
      <c r="AZ64" s="448"/>
      <c r="BA64" s="585" t="str">
        <f t="shared" si="83"/>
        <v/>
      </c>
      <c r="BB64" s="677"/>
      <c r="BC64" s="724"/>
      <c r="BD64" s="640"/>
      <c r="BE64" s="482"/>
      <c r="BF64" s="365"/>
      <c r="BG64" s="366"/>
      <c r="BJ64">
        <f t="shared" si="75"/>
        <v>0</v>
      </c>
      <c r="BK64" t="str">
        <f t="shared" si="65"/>
        <v/>
      </c>
      <c r="BL64" s="146"/>
      <c r="BO64" s="61" t="str">
        <f>IF($BJ64=0,"",IF(AND($I64&gt;=6,$I64&lt;=19),VLOOKUP($I64,参照データ!$B$28:$C$41,2,0),IF($I64&lt;6,6,19)))</f>
        <v/>
      </c>
      <c r="BP64" s="178" t="str">
        <f>IF($J64=$BI$12,VLOOKUP($BO64,参照データ!$C$28:$I$41,2,0),"")</f>
        <v/>
      </c>
      <c r="BQ64" s="169" t="str">
        <f>IF($K64=$BI$12,VLOOKUP($BO64,参照データ!$C$28:$I$41,3,0),"")</f>
        <v/>
      </c>
      <c r="BR64" s="169" t="str">
        <f>IF($L64=$BI$12,VLOOKUP($BO64,参照データ!$C$28:$I$41,4,0),"")</f>
        <v/>
      </c>
      <c r="BS64" s="169" t="str">
        <f>IF($M64=$BI$12,VLOOKUP($BO64,参照データ!$C$28:$I$41,5,0),"")</f>
        <v/>
      </c>
      <c r="BT64" s="169" t="str">
        <f>IF($N64=$BI$12,VLOOKUP($BO64,参照データ!$C$28:$I$41,6,0),"")</f>
        <v/>
      </c>
      <c r="BU64" s="179" t="str">
        <f>IF($O64=$BI$12,VLOOKUP($BO64,参照データ!$C$28:$I$41,7,0),"")</f>
        <v/>
      </c>
      <c r="BV64" s="178" t="str">
        <f>IF($J64=$BI$13,VLOOKUP($BO64,参照データ!$C$28:$I$41,2,0),"")</f>
        <v/>
      </c>
      <c r="BW64" s="169" t="str">
        <f>IF($K64=$BI$13,VLOOKUP($BO64,参照データ!$C$28:$I$41,3,0),"")</f>
        <v/>
      </c>
      <c r="BX64" s="169" t="str">
        <f>IF($L64=$BI$13,VLOOKUP($BO64,参照データ!$C$28:$I$41,4,0),"")</f>
        <v/>
      </c>
      <c r="BY64" s="169" t="str">
        <f>IF($M64=$BI$13,VLOOKUP($BO64,参照データ!$C$28:$I$41,5,0),"")</f>
        <v/>
      </c>
      <c r="BZ64" s="169" t="str">
        <f>IF($N64=$BI$13,VLOOKUP($BO64,参照データ!$C$28:$I$41,6,0),"")</f>
        <v/>
      </c>
      <c r="CA64" s="179" t="str">
        <f>IF($O64=$BI$13,VLOOKUP($BO64,参照データ!$C$28:$I$41,7,0),"")</f>
        <v/>
      </c>
      <c r="CB64" s="271" t="str">
        <f t="shared" si="26"/>
        <v/>
      </c>
      <c r="CC64" s="177" t="str">
        <f>IF($Q64="入門",VLOOKUP($BO64,参照データ!$C$47:$U$60,2,0),IF($Q64="初級",VLOOKUP($BO64,参照データ!$C$47:$U$60,3,0),IF($Q64="中級",VLOOKUP($BO64,参照データ!$C$47:$U$60,4,0),IF($Q64="上級",VLOOKUP($BO64,参照データ!$C$47:$U$60,5,0),""))))</f>
        <v/>
      </c>
      <c r="CD64" s="177" t="str">
        <f>IF($R64="初級",VLOOKUP($BO64,参照データ!$C$47:$U$60,6,0),IF($R64="中級",VLOOKUP($BO64,参照データ!$C$47:$U$60,7,0),IF($R64="上級",VLOOKUP($BO64,参照データ!$C$47:$U$60,8,0),"")))</f>
        <v/>
      </c>
      <c r="CE64" s="177" t="str">
        <f>IF($S64="初級",VLOOKUP($BO64,参照データ!$C$47:$U$60,9,0),IF($S64="上級",VLOOKUP($BO64,参照データ!$C$47:$U$60,10,0),""))</f>
        <v/>
      </c>
      <c r="CF64" s="177" t="str">
        <f>IF($T64="初級",VLOOKUP($BO64,参照データ!$C$47:$U$60,11,0),IF($T64="中級",VLOOKUP($BO64,参照データ!$C$47:$U$60,12,0),IF($T64="上級",VLOOKUP($BO64,参照データ!$C$47:$U$60,13,0),"")))</f>
        <v/>
      </c>
      <c r="CG64" s="177" t="str">
        <f>IF($U64="初級",VLOOKUP($BO64,参照データ!$C$47:$U$60,14,0),IF($U64="中級",VLOOKUP($BO64,参照データ!$C$47:$U$60,15,0),IF($U64="上級",VLOOKUP($BO64,参照データ!$C$47:$U$60,16,0),"")))</f>
        <v/>
      </c>
      <c r="CH64" s="55" t="str">
        <f t="shared" si="5"/>
        <v/>
      </c>
      <c r="CI64" s="55" t="str">
        <f>IF($V64="初級",VLOOKUP($BO64,参照データ!$C$47:$U$60,17,0),IF($V64="中級",VLOOKUP($BO64,参照データ!$C$47:$U$60,18,0),IF($V64="上級",VLOOKUP($BO64,参照データ!$C$47:$U$60,19,0),"")))</f>
        <v/>
      </c>
      <c r="CJ64" s="867">
        <v>27</v>
      </c>
      <c r="CK64" s="74" t="s">
        <v>288</v>
      </c>
      <c r="CL64" s="151" t="str">
        <f t="shared" si="6"/>
        <v/>
      </c>
      <c r="CM64" s="871" t="str">
        <f t="shared" ref="CM64" si="151">IF(OR($CL64="",$CL65=""),"",IF($CL64&gt;$CL65,$CL64,$CL65))</f>
        <v/>
      </c>
      <c r="CO64" s="61">
        <f>IF(AND($BJ64&gt;=参照データ!$C$71,$BJ64&lt;=参照データ!$C$69),1,IF(AND($BJ64&gt;=参照データ!$C$74,$BJ64&lt;=参照データ!$C$72),2,IF(AND($BJ64&gt;=参照データ!$C$77,$BJ64&lt;=参照データ!$C$75),3,IF(AND($BJ64&gt;=参照データ!$C$80,$BJ64&lt;=参照データ!$C$78),4,IF(AND($BJ64&gt;=参照データ!$C$83,$BJ64&lt;=参照データ!$C$81),5,IF(AND($BJ64&gt;0,$BJ64&lt;=参照データ!$C$84),6,""))))))</f>
        <v>5</v>
      </c>
      <c r="CP64" s="160" t="str">
        <f>IF($Y64="オープン",(VLOOKUP($CO64,参照データ!$D$69:$J$86,2,0)),"")</f>
        <v/>
      </c>
      <c r="CQ64" s="79" t="str">
        <f t="shared" si="27"/>
        <v/>
      </c>
      <c r="CR64" s="78" t="str">
        <f>IF($AA64="オープン",(VLOOKUP($CO64,参照データ!$D$69:$J$86,3,0)),"")</f>
        <v/>
      </c>
      <c r="CS64" s="79" t="str">
        <f t="shared" si="28"/>
        <v/>
      </c>
      <c r="CT64" s="78" t="str">
        <f>IF($AC64="オープン",(VLOOKUP($CO64,参照データ!$D$69:$J$86,4,0)),"")</f>
        <v/>
      </c>
      <c r="CU64" s="79" t="str">
        <f t="shared" si="29"/>
        <v/>
      </c>
      <c r="CV64" s="78" t="str">
        <f>IF($AE64="オープン",(VLOOKUP($CO64,参照データ!$D$69:$J$86,5,0)),"")</f>
        <v/>
      </c>
      <c r="CW64" s="79" t="str">
        <f t="shared" si="7"/>
        <v/>
      </c>
      <c r="CX64" s="78" t="str">
        <f>IF($AG64="オープン",(VLOOKUP($CO64,参照データ!$D$69:$J$86,6,0)),"")</f>
        <v/>
      </c>
      <c r="CY64" s="79" t="str">
        <f t="shared" si="30"/>
        <v/>
      </c>
      <c r="CZ64" s="38" t="str">
        <f t="shared" si="31"/>
        <v/>
      </c>
      <c r="DA64" s="37" t="str">
        <f t="shared" si="32"/>
        <v/>
      </c>
      <c r="DB64" s="79" t="str">
        <f t="shared" si="33"/>
        <v/>
      </c>
      <c r="DC64" s="857">
        <v>27</v>
      </c>
      <c r="DD64" s="87" t="s">
        <v>138</v>
      </c>
      <c r="DE64" s="88" t="str">
        <f t="shared" si="34"/>
        <v/>
      </c>
      <c r="DF64" s="859" t="e">
        <f>IF($DE64&gt;$DE65,VLOOKUP($DE64,参照データ!$D$69:$J$86,7,0),VLOOKUP($DE65,参照データ!$D$69:$J$86,7,0))</f>
        <v>#N/A</v>
      </c>
      <c r="DG64" s="350" t="str">
        <f>IFERROR(VLOOKUP($DF64,参照データ!$J$69:$M$86,4,0),"")</f>
        <v/>
      </c>
      <c r="DH64" s="523">
        <f>IF(AND($BJ64&gt;=参照データ!$C$130,$BJ64&lt;=参照データ!$C$128),1,IF(AND($BJ64&gt;=参照データ!$C$133,$BJ64&lt;=参照データ!$C$131),2,IF(AND($BJ64&gt;=参照データ!$C$139,$BJ64&lt;=参照データ!$C$137),3,IF(AND($BJ64&gt;0,$BJ64&lt;=参照データ!$C$140),4,""))))</f>
        <v>1</v>
      </c>
      <c r="DI64" s="523">
        <f t="shared" si="35"/>
        <v>7</v>
      </c>
      <c r="DJ64" s="523" t="str">
        <f t="shared" si="36"/>
        <v/>
      </c>
      <c r="DK64" s="524" t="str">
        <f>IF($AN64="","",IF(AND($AN64="○",$BK64="男子"),VLOOKUP($DI64,参照データ!$D$128:$J$145,3,FALSE),VLOOKUP($DH64,参照データ!$D$128:$J$145,3,FALSE)))</f>
        <v/>
      </c>
      <c r="DL64" s="525" t="str">
        <f t="shared" si="37"/>
        <v/>
      </c>
      <c r="DM64" s="524" t="str">
        <f>IF($AP64="","",IF(AND($AP64="○",$BK64="男子"),VLOOKUP($DI64,参照データ!$D$128:$J$145,4,FALSE),VLOOKUP($DH64,参照データ!$D$128:$J$145,4,FALSE)))</f>
        <v/>
      </c>
      <c r="DN64" s="525" t="str">
        <f t="shared" si="38"/>
        <v/>
      </c>
      <c r="DO64" s="524" t="str">
        <f>IF($AR64="","",IF(AND($AR64="○",$BK64="男子"),VLOOKUP($DI64,参照データ!$D$128:$J$145,5,FALSE),VLOOKUP($DH64,参照データ!$D$128:$J$145,5,FALSE)))</f>
        <v/>
      </c>
      <c r="DP64" s="525" t="str">
        <f t="shared" si="39"/>
        <v/>
      </c>
      <c r="DQ64" s="524" t="str">
        <f>IF($AT64="","",IF(AND($AT64="○",$BK64="男子"),VLOOKUP($DI64,参照データ!$D$128:$J$145,6,FALSE),VLOOKUP($DH64,参照データ!$D$128:$J$145,6,FALSE)))</f>
        <v/>
      </c>
      <c r="DR64" s="525" t="str">
        <f t="shared" si="40"/>
        <v/>
      </c>
      <c r="DS64" s="526" t="str">
        <f t="shared" si="41"/>
        <v/>
      </c>
      <c r="DT64" s="527" t="str">
        <f t="shared" si="42"/>
        <v/>
      </c>
      <c r="DU64" s="528" t="str">
        <f t="shared" si="43"/>
        <v/>
      </c>
      <c r="DV64" s="982">
        <v>27</v>
      </c>
      <c r="DW64" s="533" t="s">
        <v>138</v>
      </c>
      <c r="DX64" s="534" t="str">
        <f t="shared" si="92"/>
        <v/>
      </c>
      <c r="DY64" s="877" t="e">
        <f>IF($DX64&gt;$DX65,VLOOKUP($DX64,参照データ!$D$128:$K$145,7,0),VLOOKUP($DX65,参照データ!$D$128:$K$145,7,0))</f>
        <v>#N/A</v>
      </c>
      <c r="DZ64" s="692" t="str">
        <f>IFERROR(VLOOKUP($DY64,参照データ!$J$128:$N$145,5,0),"")</f>
        <v/>
      </c>
      <c r="EA64" s="526" t="str">
        <f t="shared" si="85"/>
        <v/>
      </c>
      <c r="EB64" s="527" t="str">
        <f t="shared" si="86"/>
        <v/>
      </c>
      <c r="EC64" s="528" t="str">
        <f t="shared" si="87"/>
        <v/>
      </c>
      <c r="ED64" s="982">
        <v>27</v>
      </c>
      <c r="EE64" s="533" t="s">
        <v>138</v>
      </c>
      <c r="EF64" s="533" t="str">
        <f t="shared" si="88"/>
        <v/>
      </c>
      <c r="EG64" s="534" t="str">
        <f>IF(SUM(EF64:EF65)&lt;24,"",IF(SUM(EF64:EF65)&gt;=36,3,2))</f>
        <v/>
      </c>
      <c r="EH64" s="877" t="e">
        <f>IF($EG64&gt;$EG65,VLOOKUP($EG64,参照データ!$D$128:$K$145,8,0),VLOOKUP($EG65,参照データ!$D$128:$K$145,8,0))</f>
        <v>#N/A</v>
      </c>
      <c r="EI64" s="527" t="str">
        <f>IFERROR(VLOOKUP($EH64,参照データ!$K$128:$N$145,4,0),"")</f>
        <v/>
      </c>
      <c r="EJ64" s="555" t="str">
        <f t="shared" si="13"/>
        <v/>
      </c>
      <c r="EK64" s="556" t="str">
        <f t="shared" si="44"/>
        <v/>
      </c>
      <c r="EL64" s="846"/>
      <c r="EM64" s="561" t="s">
        <v>824</v>
      </c>
      <c r="EN64" s="562" t="str">
        <f t="shared" si="45"/>
        <v/>
      </c>
      <c r="EO64" s="849"/>
      <c r="EP64" s="555" t="str">
        <f t="shared" si="115"/>
        <v/>
      </c>
      <c r="EQ64" s="556" t="str">
        <f t="shared" si="46"/>
        <v/>
      </c>
      <c r="ER64" s="846"/>
      <c r="ES64" s="561" t="s">
        <v>824</v>
      </c>
      <c r="ET64" s="562" t="str">
        <f t="shared" si="47"/>
        <v/>
      </c>
      <c r="EU64" s="849"/>
      <c r="EV64" s="38" t="str">
        <f t="shared" si="116"/>
        <v/>
      </c>
      <c r="EW64" s="552" t="str">
        <f t="shared" si="48"/>
        <v/>
      </c>
      <c r="EX64" s="833"/>
      <c r="EY64" s="559" t="s">
        <v>844</v>
      </c>
      <c r="EZ64" s="560" t="str">
        <f t="shared" si="49"/>
        <v/>
      </c>
      <c r="FA64" s="835"/>
      <c r="FB64" t="str">
        <f>IF($FC64="","",DATEDIF($BJ64,参照データ!$D$19,"Y"))</f>
        <v/>
      </c>
      <c r="FC64" s="298" t="str">
        <f>IFERROR(IF($BK64="男子",VLOOKUP($FJ64,参照データ!$D$92:$E$118,2,0),$FJ64),0)</f>
        <v/>
      </c>
      <c r="FD64" s="92" t="str">
        <f>IF($Y64="選手権",(VLOOKUP($FC64,参照データ!$D$92:$K$121,3,0)),"")</f>
        <v/>
      </c>
      <c r="FE64" s="93" t="str">
        <f t="shared" si="117"/>
        <v/>
      </c>
      <c r="FF64" s="92" t="str">
        <f>IF($AA64="選手権",(VLOOKUP($FC64,参照データ!$D$92:$K$121,4,0)),"")</f>
        <v/>
      </c>
      <c r="FG64" s="93" t="str">
        <f t="shared" si="118"/>
        <v/>
      </c>
      <c r="FH64" s="92" t="str">
        <f>IF($AC64="選手権",(VLOOKUP($FC64,参照データ!$D$92:$K$121,5,0)),"")</f>
        <v/>
      </c>
      <c r="FI64" s="93" t="str">
        <f t="shared" si="119"/>
        <v/>
      </c>
      <c r="FJ64" s="61" t="str">
        <f>IF(AND($BJ64&gt;=参照データ!$C$94,$BJ64&lt;=参照データ!$C$92),1,IF(AND($BJ64&gt;=参照データ!$C$97,$BJ64&lt;=参照データ!$C$95),2,IF(AND($BJ64&gt;=参照データ!$C$103,$BJ64&lt;=参照データ!$C$101),3,IF(AND($BJ64&gt;=参照データ!$C$109,$BJ64&lt;=参照データ!$C$107),4,IF(AND($BJ64&gt;=参照データ!$C$115,$BJ64&lt;=参照データ!$C$113),5,IF(AND($BJ64&gt;0,$BJ64&lt;=参照データ!$C$116),6,""))))))</f>
        <v/>
      </c>
      <c r="FK64" s="92" t="str">
        <f>IF($AE64="選手権",(VLOOKUP($FJ64,参照データ!$D$92:$K$121,6,0)),"")</f>
        <v/>
      </c>
      <c r="FL64" s="93" t="str">
        <f t="shared" si="19"/>
        <v/>
      </c>
      <c r="FM64" s="92" t="str">
        <f>IF($AG64="選手権",(VLOOKUP($FJ64,参照データ!$D$92:$K$121,7,0)),"")</f>
        <v/>
      </c>
      <c r="FN64" s="93" t="str">
        <f t="shared" si="50"/>
        <v/>
      </c>
      <c r="FO64" s="38" t="str">
        <f t="shared" si="51"/>
        <v/>
      </c>
      <c r="FP64" s="37" t="str">
        <f t="shared" si="52"/>
        <v/>
      </c>
      <c r="FQ64" s="93" t="str">
        <f t="shared" si="53"/>
        <v/>
      </c>
      <c r="FR64" s="979">
        <v>27</v>
      </c>
      <c r="FS64" s="101" t="s">
        <v>138</v>
      </c>
      <c r="FT64" s="102" t="str">
        <f t="shared" si="120"/>
        <v/>
      </c>
      <c r="FU64" s="980" t="e">
        <f>IF($FT64&gt;$FT65,VLOOKUP($FT64,参照データ!$D$92:$K$121,8,0),VLOOKUP($FT65,参照データ!$D$92:$K$121,8,0))</f>
        <v>#N/A</v>
      </c>
      <c r="FV64" s="356" t="str">
        <f>IFERROR(VLOOKUP($FU64,参照データ!$K$92:$O$121,5,0),"")</f>
        <v/>
      </c>
      <c r="FY64" s="40">
        <f>(COUNTIF($J64:$O64,"&lt;&gt;"))*参照データ!$E$3</f>
        <v>0</v>
      </c>
      <c r="FZ64" s="267" t="str">
        <f>IF($P64="○",参照データ!$E$4,"")</f>
        <v/>
      </c>
      <c r="GA64" s="19">
        <f>(SUM(COUNTIF($Q64:$U64,{"入門","初級"}))*参照データ!$E$9)+(SUM(COUNTIF($Q64:$U64,{"中級","上級"})*参照データ!$E$10))</f>
        <v>0</v>
      </c>
      <c r="GB64" s="19">
        <f>IFERROR(VLOOKUP($V64,参照データ!$D$9:$J$11,7,0),0)</f>
        <v>0</v>
      </c>
      <c r="GC64" s="19">
        <f>((COUNTIF($Y64:$AG64,"オープン"))*参照データ!$E$12)</f>
        <v>0</v>
      </c>
      <c r="GD64" s="19" t="str">
        <f>(IF($AI64="オープン",参照データ!$J$12,""))</f>
        <v/>
      </c>
      <c r="GE64" s="19">
        <f>(COUNTIF($AN64:$AU64,"○")*参照データ!$E$22)</f>
        <v>0</v>
      </c>
      <c r="GF64" s="19">
        <f>(COUNTIF($AV64:$BA64,"○")*参照データ!$I$22)</f>
        <v>0</v>
      </c>
      <c r="GI64" s="19">
        <f>((COUNTIF($Y64:$AG64,"選手権"))*参照データ!$E$13)</f>
        <v>0</v>
      </c>
      <c r="GJ64" s="19" t="str">
        <f>(IF($AI64="選手権",参照データ!$J$13,""))</f>
        <v/>
      </c>
      <c r="GK64" s="106">
        <f t="array" ref="GK64">SUM(IF(ISERROR(FY64:GJ64),0,(FY64:GJ64)))</f>
        <v>0</v>
      </c>
      <c r="GL64" s="19"/>
      <c r="GM64" s="19">
        <f t="shared" si="54"/>
        <v>0</v>
      </c>
      <c r="GN64" s="19">
        <f t="shared" si="55"/>
        <v>0</v>
      </c>
      <c r="GO64" s="19">
        <f t="shared" si="56"/>
        <v>0</v>
      </c>
      <c r="GP64" s="19">
        <f t="shared" si="121"/>
        <v>0</v>
      </c>
      <c r="GQ64" s="19">
        <f t="shared" si="57"/>
        <v>0</v>
      </c>
      <c r="GR64" s="19">
        <f t="shared" si="58"/>
        <v>0</v>
      </c>
      <c r="GS64" s="19">
        <f t="shared" si="59"/>
        <v>0</v>
      </c>
      <c r="GT64" s="19">
        <f t="shared" si="60"/>
        <v>0</v>
      </c>
      <c r="GU64" s="19">
        <f t="shared" si="61"/>
        <v>0</v>
      </c>
      <c r="GV64" t="str">
        <f t="shared" si="122"/>
        <v/>
      </c>
      <c r="GW64" t="str">
        <f t="shared" si="62"/>
        <v/>
      </c>
      <c r="GX64" t="str">
        <f t="shared" si="123"/>
        <v/>
      </c>
      <c r="GY64" t="str">
        <f t="shared" si="63"/>
        <v/>
      </c>
      <c r="GZ64" t="str">
        <f t="shared" si="124"/>
        <v/>
      </c>
    </row>
    <row r="65" spans="1:208" ht="18.75" customHeight="1" x14ac:dyDescent="0.15">
      <c r="A65">
        <v>54</v>
      </c>
      <c r="B65" s="15" t="str">
        <f>IF(D65="","",IF(D65="重複","",COUNTIF(B$12:$B64,"&gt;0")+1))</f>
        <v/>
      </c>
      <c r="C65" s="713"/>
      <c r="D65" s="185"/>
      <c r="E65" s="185"/>
      <c r="F65" s="36"/>
      <c r="G65" s="47"/>
      <c r="H65" s="402">
        <f t="shared" si="112"/>
        <v>0</v>
      </c>
      <c r="I65" s="201" t="str">
        <f>IF($BJ65=0,"",DATEDIF($BJ65,参照データ!$D$16,"Y"))</f>
        <v/>
      </c>
      <c r="J65" s="41"/>
      <c r="K65" s="41"/>
      <c r="L65" s="41"/>
      <c r="M65" s="41"/>
      <c r="N65" s="41"/>
      <c r="O65" s="49"/>
      <c r="P65" s="395"/>
      <c r="Q65" s="51"/>
      <c r="R65" s="289"/>
      <c r="S65" s="289"/>
      <c r="T65" s="289"/>
      <c r="U65" s="290"/>
      <c r="V65" s="293"/>
      <c r="W65" s="295"/>
      <c r="Y65" s="446"/>
      <c r="Z65" s="396" t="str">
        <f>IF($Y65="オープン",VLOOKUP($CO65,参照データ!$D$69:$M$86,9,0),IF($Y65="選手権",VLOOKUP($FC65,参照データ!$D$92:$O$121,10,0),""))</f>
        <v/>
      </c>
      <c r="AA65" s="446"/>
      <c r="AB65" s="666" t="str">
        <f>IF($AA65="オープン",VLOOKUP($CO65,参照データ!$D$69:$M$86,10,0),IF($AA65="選手権",VLOOKUP($FC65,参照データ!$D$92:$O$121,11,0),""))</f>
        <v/>
      </c>
      <c r="AC65" s="669"/>
      <c r="AD65" s="396" t="str">
        <f>IF($AC65="オープン",VLOOKUP($CO65,参照データ!$D$69:$M$86,10,0),IF($AC65="選手権",VLOOKUP($FC65,参照データ!$D$92:$O$121,11,0),""))</f>
        <v/>
      </c>
      <c r="AE65" s="446"/>
      <c r="AF65" s="396" t="str">
        <f>IF($AE65="オープン",VLOOKUP($CO65,参照データ!$D$69:$M$86,10,0),IF($AE65="選手権",VLOOKUP($FJ65,参照データ!$D$92:$O$121,12,0),""))</f>
        <v/>
      </c>
      <c r="AG65" s="446"/>
      <c r="AH65" s="396" t="str">
        <f>IF($AG65="オープン",VLOOKUP($CO65,参照データ!$D$69:$M$86,10,0),IF($AG65="選手権",VLOOKUP($FJ65,参照データ!$D$92:$O$121,12,0),""))</f>
        <v/>
      </c>
      <c r="AI65" s="446"/>
      <c r="AJ65" s="449"/>
      <c r="AK65" s="396" t="str">
        <f t="shared" si="113"/>
        <v/>
      </c>
      <c r="AL65" s="587"/>
      <c r="AM65" s="588" t="str">
        <f>IF($BJ65=0,"",DATEDIF($BJ65,参照データ!$D$17,"Y"))</f>
        <v/>
      </c>
      <c r="AN65" s="450"/>
      <c r="AO65" s="591" t="str">
        <f>IF(AN65="","",IF($BK65="男子",VLOOKUP($DI65,参照データ!$D$128:$M$145,10,FALSE),VLOOKUP($DH65,参照データ!$D$128:$M$145,10,FALSE)))</f>
        <v/>
      </c>
      <c r="AP65" s="450"/>
      <c r="AQ65" s="591" t="str">
        <f>IF(AP65="","",IF($BK65="男子",VLOOKUP($DI65,参照データ!$D$128:$M$145,10,FALSE),VLOOKUP($DH65,参照データ!$D$128:$M$145,10,FALSE)))</f>
        <v/>
      </c>
      <c r="AR65" s="450"/>
      <c r="AS65" s="591" t="str">
        <f>IF(AR65="","",IF($BK65="男子",VLOOKUP($DI65,参照データ!$D$128:$M$145,10,FALSE),VLOOKUP($DH65,参照データ!$D$128:$M$145,10,FALSE)))</f>
        <v/>
      </c>
      <c r="AT65" s="450"/>
      <c r="AU65" s="591" t="str">
        <f>IF(AT65="","",IF($BK65="男子",VLOOKUP($DI65,参照データ!$D$128:$M$145,10,FALSE),VLOOKUP($DH65,参照データ!$D$128:$M$145,10,FALSE)))</f>
        <v/>
      </c>
      <c r="AV65" s="448"/>
      <c r="AW65" s="448"/>
      <c r="AX65" s="585" t="str">
        <f t="shared" si="25"/>
        <v/>
      </c>
      <c r="AY65" s="448"/>
      <c r="AZ65" s="448"/>
      <c r="BA65" s="585" t="str">
        <f t="shared" si="83"/>
        <v/>
      </c>
      <c r="BB65" s="677"/>
      <c r="BC65" s="724"/>
      <c r="BD65" s="640"/>
      <c r="BE65" s="482"/>
      <c r="BF65" s="365"/>
      <c r="BG65" s="366"/>
      <c r="BJ65">
        <f t="shared" si="75"/>
        <v>0</v>
      </c>
      <c r="BK65" t="str">
        <f t="shared" si="65"/>
        <v/>
      </c>
      <c r="BL65" s="146"/>
      <c r="BO65" s="61" t="str">
        <f>IF($BJ65=0,"",IF(AND($I65&gt;=6,$I65&lt;=19),VLOOKUP($I65,参照データ!$B$28:$C$41,2,0),IF($I65&lt;6,6,19)))</f>
        <v/>
      </c>
      <c r="BP65" s="178" t="str">
        <f>IF($J65=$BI$12,VLOOKUP($BO65,参照データ!$C$28:$I$41,2,0),"")</f>
        <v/>
      </c>
      <c r="BQ65" s="169" t="str">
        <f>IF($K65=$BI$12,VLOOKUP($BO65,参照データ!$C$28:$I$41,3,0),"")</f>
        <v/>
      </c>
      <c r="BR65" s="169" t="str">
        <f>IF($L65=$BI$12,VLOOKUP($BO65,参照データ!$C$28:$I$41,4,0),"")</f>
        <v/>
      </c>
      <c r="BS65" s="169" t="str">
        <f>IF($M65=$BI$12,VLOOKUP($BO65,参照データ!$C$28:$I$41,5,0),"")</f>
        <v/>
      </c>
      <c r="BT65" s="169" t="str">
        <f>IF($N65=$BI$12,VLOOKUP($BO65,参照データ!$C$28:$I$41,6,0),"")</f>
        <v/>
      </c>
      <c r="BU65" s="179" t="str">
        <f>IF($O65=$BI$12,VLOOKUP($BO65,参照データ!$C$28:$I$41,7,0),"")</f>
        <v/>
      </c>
      <c r="BV65" s="178" t="str">
        <f>IF($J65=$BI$13,VLOOKUP($BO65,参照データ!$C$28:$I$41,2,0),"")</f>
        <v/>
      </c>
      <c r="BW65" s="169" t="str">
        <f>IF($K65=$BI$13,VLOOKUP($BO65,参照データ!$C$28:$I$41,3,0),"")</f>
        <v/>
      </c>
      <c r="BX65" s="169" t="str">
        <f>IF($L65=$BI$13,VLOOKUP($BO65,参照データ!$C$28:$I$41,4,0),"")</f>
        <v/>
      </c>
      <c r="BY65" s="169" t="str">
        <f>IF($M65=$BI$13,VLOOKUP($BO65,参照データ!$C$28:$I$41,5,0),"")</f>
        <v/>
      </c>
      <c r="BZ65" s="169" t="str">
        <f>IF($N65=$BI$13,VLOOKUP($BO65,参照データ!$C$28:$I$41,6,0),"")</f>
        <v/>
      </c>
      <c r="CA65" s="179" t="str">
        <f>IF($O65=$BI$13,VLOOKUP($BO65,参照データ!$C$28:$I$41,7,0),"")</f>
        <v/>
      </c>
      <c r="CB65" s="271" t="str">
        <f t="shared" si="26"/>
        <v/>
      </c>
      <c r="CC65" s="177" t="str">
        <f>IF($Q65="入門",VLOOKUP($BO65,参照データ!$C$47:$U$60,2,0),IF($Q65="初級",VLOOKUP($BO65,参照データ!$C$47:$U$60,3,0),IF($Q65="中級",VLOOKUP($BO65,参照データ!$C$47:$U$60,4,0),IF($Q65="上級",VLOOKUP($BO65,参照データ!$C$47:$U$60,5,0),""))))</f>
        <v/>
      </c>
      <c r="CD65" s="177" t="str">
        <f>IF($R65="初級",VLOOKUP($BO65,参照データ!$C$47:$U$60,6,0),IF($R65="中級",VLOOKUP($BO65,参照データ!$C$47:$U$60,7,0),IF($R65="上級",VLOOKUP($BO65,参照データ!$C$47:$U$60,8,0),"")))</f>
        <v/>
      </c>
      <c r="CE65" s="177" t="str">
        <f>IF($S65="初級",VLOOKUP($BO65,参照データ!$C$47:$U$60,9,0),IF($S65="上級",VLOOKUP($BO65,参照データ!$C$47:$U$60,10,0),""))</f>
        <v/>
      </c>
      <c r="CF65" s="177" t="str">
        <f>IF($T65="初級",VLOOKUP($BO65,参照データ!$C$47:$U$60,11,0),IF($T65="中級",VLOOKUP($BO65,参照データ!$C$47:$U$60,12,0),IF($T65="上級",VLOOKUP($BO65,参照データ!$C$47:$U$60,13,0),"")))</f>
        <v/>
      </c>
      <c r="CG65" s="177" t="str">
        <f>IF($U65="初級",VLOOKUP($BO65,参照データ!$C$47:$U$60,14,0),IF($U65="中級",VLOOKUP($BO65,参照データ!$C$47:$U$60,15,0),IF($U65="上級",VLOOKUP($BO65,参照データ!$C$47:$U$60,16,0),"")))</f>
        <v/>
      </c>
      <c r="CH65" s="55" t="str">
        <f t="shared" si="5"/>
        <v/>
      </c>
      <c r="CI65" s="55" t="str">
        <f>IF($V65="初級",VLOOKUP($BO65,参照データ!$C$47:$U$60,17,0),IF($V65="中級",VLOOKUP($BO65,参照データ!$C$47:$U$60,18,0),IF($V65="上級",VLOOKUP($BO65,参照データ!$C$47:$U$60,19,0),"")))</f>
        <v/>
      </c>
      <c r="CJ65" s="868"/>
      <c r="CK65" s="73" t="s">
        <v>289</v>
      </c>
      <c r="CL65" s="150" t="str">
        <f t="shared" si="6"/>
        <v/>
      </c>
      <c r="CM65" s="872"/>
      <c r="CO65" s="61">
        <f>IF(AND($BJ65&gt;=参照データ!$C$71,$BJ65&lt;=参照データ!$C$69),1,IF(AND($BJ65&gt;=参照データ!$C$74,$BJ65&lt;=参照データ!$C$72),2,IF(AND($BJ65&gt;=参照データ!$C$77,$BJ65&lt;=参照データ!$C$75),3,IF(AND($BJ65&gt;=参照データ!$C$80,$BJ65&lt;=参照データ!$C$78),4,IF(AND($BJ65&gt;=参照データ!$C$83,$BJ65&lt;=参照データ!$C$81),5,IF(AND($BJ65&gt;0,$BJ65&lt;=参照データ!$C$84),6,""))))))</f>
        <v>5</v>
      </c>
      <c r="CP65" s="160" t="str">
        <f>IF($Y65="オープン",(VLOOKUP($CO65,参照データ!$D$69:$J$86,2,0)),"")</f>
        <v/>
      </c>
      <c r="CQ65" s="79" t="str">
        <f t="shared" si="27"/>
        <v/>
      </c>
      <c r="CR65" s="78" t="str">
        <f>IF($AA65="オープン",(VLOOKUP($CO65,参照データ!$D$69:$J$86,3,0)),"")</f>
        <v/>
      </c>
      <c r="CS65" s="79" t="str">
        <f t="shared" si="28"/>
        <v/>
      </c>
      <c r="CT65" s="78" t="str">
        <f>IF($AC65="オープン",(VLOOKUP($CO65,参照データ!$D$69:$J$86,4,0)),"")</f>
        <v/>
      </c>
      <c r="CU65" s="79" t="str">
        <f t="shared" si="29"/>
        <v/>
      </c>
      <c r="CV65" s="78" t="str">
        <f>IF($AE65="オープン",(VLOOKUP($CO65,参照データ!$D$69:$J$86,5,0)),"")</f>
        <v/>
      </c>
      <c r="CW65" s="79" t="str">
        <f t="shared" si="7"/>
        <v/>
      </c>
      <c r="CX65" s="78" t="str">
        <f>IF($AG65="オープン",(VLOOKUP($CO65,参照データ!$D$69:$J$86,6,0)),"")</f>
        <v/>
      </c>
      <c r="CY65" s="79" t="str">
        <f t="shared" si="30"/>
        <v/>
      </c>
      <c r="CZ65" s="38" t="str">
        <f t="shared" si="31"/>
        <v/>
      </c>
      <c r="DA65" s="37" t="str">
        <f t="shared" si="32"/>
        <v/>
      </c>
      <c r="DB65" s="79" t="str">
        <f t="shared" si="33"/>
        <v/>
      </c>
      <c r="DC65" s="858"/>
      <c r="DD65" s="85" t="s">
        <v>139</v>
      </c>
      <c r="DE65" s="86" t="str">
        <f t="shared" si="34"/>
        <v/>
      </c>
      <c r="DF65" s="860"/>
      <c r="DG65" s="350" t="str">
        <f t="shared" ref="DG65" si="152">$DG64</f>
        <v/>
      </c>
      <c r="DH65" s="523">
        <f>IF(AND($BJ65&gt;=参照データ!$C$130,$BJ65&lt;=参照データ!$C$128),1,IF(AND($BJ65&gt;=参照データ!$C$133,$BJ65&lt;=参照データ!$C$131),2,IF(AND($BJ65&gt;=参照データ!$C$139,$BJ65&lt;=参照データ!$C$137),3,IF(AND($BJ65&gt;0,$BJ65&lt;=参照データ!$C$140),4,""))))</f>
        <v>1</v>
      </c>
      <c r="DI65" s="523">
        <f t="shared" si="35"/>
        <v>7</v>
      </c>
      <c r="DJ65" s="523" t="str">
        <f t="shared" si="36"/>
        <v/>
      </c>
      <c r="DK65" s="524" t="str">
        <f>IF($AN65="","",IF(AND($AN65="○",$BK65="男子"),VLOOKUP($DI65,参照データ!$D$128:$J$145,3,FALSE),VLOOKUP($DH65,参照データ!$D$128:$J$145,3,FALSE)))</f>
        <v/>
      </c>
      <c r="DL65" s="525" t="str">
        <f t="shared" si="37"/>
        <v/>
      </c>
      <c r="DM65" s="524" t="str">
        <f>IF($AP65="","",IF(AND($AP65="○",$BK65="男子"),VLOOKUP($DI65,参照データ!$D$128:$J$145,4,FALSE),VLOOKUP($DH65,参照データ!$D$128:$J$145,4,FALSE)))</f>
        <v/>
      </c>
      <c r="DN65" s="525" t="str">
        <f t="shared" si="38"/>
        <v/>
      </c>
      <c r="DO65" s="524" t="str">
        <f>IF($AR65="","",IF(AND($AR65="○",$BK65="男子"),VLOOKUP($DI65,参照データ!$D$128:$J$145,5,FALSE),VLOOKUP($DH65,参照データ!$D$128:$J$145,5,FALSE)))</f>
        <v/>
      </c>
      <c r="DP65" s="525" t="str">
        <f t="shared" si="39"/>
        <v/>
      </c>
      <c r="DQ65" s="524" t="str">
        <f>IF($AT65="","",IF(AND($AT65="○",$BK65="男子"),VLOOKUP($DI65,参照データ!$D$128:$J$145,6,FALSE),VLOOKUP($DH65,参照データ!$D$128:$J$145,6,FALSE)))</f>
        <v/>
      </c>
      <c r="DR65" s="525" t="str">
        <f t="shared" si="40"/>
        <v/>
      </c>
      <c r="DS65" s="526" t="str">
        <f t="shared" si="41"/>
        <v/>
      </c>
      <c r="DT65" s="527" t="str">
        <f t="shared" si="42"/>
        <v/>
      </c>
      <c r="DU65" s="528" t="str">
        <f t="shared" si="43"/>
        <v/>
      </c>
      <c r="DV65" s="983"/>
      <c r="DW65" s="531" t="s">
        <v>139</v>
      </c>
      <c r="DX65" s="532" t="str">
        <f t="shared" si="92"/>
        <v/>
      </c>
      <c r="DY65" s="994"/>
      <c r="DZ65" s="692" t="str">
        <f>$DZ64</f>
        <v/>
      </c>
      <c r="EA65" s="526" t="str">
        <f t="shared" si="85"/>
        <v/>
      </c>
      <c r="EB65" s="527" t="str">
        <f t="shared" si="86"/>
        <v/>
      </c>
      <c r="EC65" s="528" t="str">
        <f t="shared" si="87"/>
        <v/>
      </c>
      <c r="ED65" s="983"/>
      <c r="EE65" s="531" t="s">
        <v>139</v>
      </c>
      <c r="EF65" s="531" t="str">
        <f t="shared" si="88"/>
        <v/>
      </c>
      <c r="EG65" s="532" t="str">
        <f>IF(SUM(EF64:EF65)&lt;24,"",IF(SUM(EF64:EF65)&gt;=36,3,2))</f>
        <v/>
      </c>
      <c r="EH65" s="994"/>
      <c r="EI65" s="527" t="str">
        <f>$EI64</f>
        <v/>
      </c>
      <c r="EJ65" s="555" t="str">
        <f t="shared" si="13"/>
        <v/>
      </c>
      <c r="EK65" s="556" t="str">
        <f t="shared" si="44"/>
        <v/>
      </c>
      <c r="EL65" s="846"/>
      <c r="EM65" s="561" t="s">
        <v>825</v>
      </c>
      <c r="EN65" s="562" t="str">
        <f t="shared" si="45"/>
        <v/>
      </c>
      <c r="EO65" s="849"/>
      <c r="EP65" s="555" t="str">
        <f t="shared" si="115"/>
        <v/>
      </c>
      <c r="EQ65" s="556" t="str">
        <f t="shared" si="46"/>
        <v/>
      </c>
      <c r="ER65" s="846"/>
      <c r="ES65" s="561" t="s">
        <v>825</v>
      </c>
      <c r="ET65" s="562" t="str">
        <f t="shared" si="47"/>
        <v/>
      </c>
      <c r="EU65" s="849"/>
      <c r="EV65" s="38" t="str">
        <f t="shared" si="116"/>
        <v/>
      </c>
      <c r="EW65" s="552" t="str">
        <f t="shared" si="48"/>
        <v/>
      </c>
      <c r="EX65" s="833"/>
      <c r="EY65" s="559" t="s">
        <v>845</v>
      </c>
      <c r="EZ65" s="560" t="str">
        <f t="shared" si="49"/>
        <v/>
      </c>
      <c r="FA65" s="835"/>
      <c r="FB65" t="str">
        <f>IF($FC65="","",DATEDIF($BJ65,参照データ!$D$19,"Y"))</f>
        <v/>
      </c>
      <c r="FC65" s="298" t="str">
        <f>IFERROR(IF($BK65="男子",VLOOKUP($FJ65,参照データ!$D$92:$E$118,2,0),$FJ65),0)</f>
        <v/>
      </c>
      <c r="FD65" s="92" t="str">
        <f>IF($Y65="選手権",(VLOOKUP($FC65,参照データ!$D$92:$K$121,3,0)),"")</f>
        <v/>
      </c>
      <c r="FE65" s="93" t="str">
        <f t="shared" si="117"/>
        <v/>
      </c>
      <c r="FF65" s="92" t="str">
        <f>IF($AA65="選手権",(VLOOKUP($FC65,参照データ!$D$92:$K$121,4,0)),"")</f>
        <v/>
      </c>
      <c r="FG65" s="93" t="str">
        <f t="shared" si="118"/>
        <v/>
      </c>
      <c r="FH65" s="92" t="str">
        <f>IF($AC65="選手権",(VLOOKUP($FC65,参照データ!$D$92:$K$121,5,0)),"")</f>
        <v/>
      </c>
      <c r="FI65" s="93" t="str">
        <f t="shared" si="119"/>
        <v/>
      </c>
      <c r="FJ65" s="61" t="str">
        <f>IF(AND($BJ65&gt;=参照データ!$C$94,$BJ65&lt;=参照データ!$C$92),1,IF(AND($BJ65&gt;=参照データ!$C$97,$BJ65&lt;=参照データ!$C$95),2,IF(AND($BJ65&gt;=参照データ!$C$103,$BJ65&lt;=参照データ!$C$101),3,IF(AND($BJ65&gt;=参照データ!$C$109,$BJ65&lt;=参照データ!$C$107),4,IF(AND($BJ65&gt;=参照データ!$C$115,$BJ65&lt;=参照データ!$C$113),5,IF(AND($BJ65&gt;0,$BJ65&lt;=参照データ!$C$116),6,""))))))</f>
        <v/>
      </c>
      <c r="FK65" s="92" t="str">
        <f>IF($AE65="選手権",(VLOOKUP($FJ65,参照データ!$D$92:$K$121,6,0)),"")</f>
        <v/>
      </c>
      <c r="FL65" s="93" t="str">
        <f t="shared" si="19"/>
        <v/>
      </c>
      <c r="FM65" s="92" t="str">
        <f>IF($AG65="選手権",(VLOOKUP($FJ65,参照データ!$D$92:$K$121,7,0)),"")</f>
        <v/>
      </c>
      <c r="FN65" s="93" t="str">
        <f t="shared" si="50"/>
        <v/>
      </c>
      <c r="FO65" s="38" t="str">
        <f t="shared" si="51"/>
        <v/>
      </c>
      <c r="FP65" s="37" t="str">
        <f t="shared" si="52"/>
        <v/>
      </c>
      <c r="FQ65" s="93" t="str">
        <f t="shared" si="53"/>
        <v/>
      </c>
      <c r="FR65" s="976"/>
      <c r="FS65" s="99" t="s">
        <v>139</v>
      </c>
      <c r="FT65" s="100" t="str">
        <f t="shared" si="120"/>
        <v/>
      </c>
      <c r="FU65" s="978"/>
      <c r="FV65" s="356" t="str">
        <f t="shared" ref="FV65" si="153">$FV64</f>
        <v/>
      </c>
      <c r="FY65" s="40">
        <f>(COUNTIF($J65:$O65,"&lt;&gt;"))*参照データ!$E$3</f>
        <v>0</v>
      </c>
      <c r="FZ65" s="267" t="str">
        <f>IF($P65="○",参照データ!$E$4,"")</f>
        <v/>
      </c>
      <c r="GA65" s="19">
        <f>(SUM(COUNTIF($Q65:$U65,{"入門","初級"}))*参照データ!$E$9)+(SUM(COUNTIF($Q65:$U65,{"中級","上級"})*参照データ!$E$10))</f>
        <v>0</v>
      </c>
      <c r="GB65" s="19">
        <f>IFERROR(VLOOKUP($V65,参照データ!$D$9:$J$11,7,0),0)</f>
        <v>0</v>
      </c>
      <c r="GC65" s="19">
        <f>((COUNTIF($Y65:$AG65,"オープン"))*参照データ!$E$12)</f>
        <v>0</v>
      </c>
      <c r="GD65" s="19" t="str">
        <f>(IF($AI65="オープン",参照データ!$J$12,""))</f>
        <v/>
      </c>
      <c r="GE65" s="19">
        <f>(COUNTIF($AN65:$AU65,"○")*参照データ!$E$22)</f>
        <v>0</v>
      </c>
      <c r="GF65" s="19">
        <f>(COUNTIF($AV65:$BA65,"○")*参照データ!$I$22)</f>
        <v>0</v>
      </c>
      <c r="GI65" s="19">
        <f>((COUNTIF($Y65:$AG65,"選手権"))*参照データ!$E$13)</f>
        <v>0</v>
      </c>
      <c r="GJ65" s="19" t="str">
        <f>(IF($AI65="選手権",参照データ!$J$13,""))</f>
        <v/>
      </c>
      <c r="GK65" s="106">
        <f t="array" ref="GK65">SUM(IF(ISERROR(FY65:GJ65),0,(FY65:GJ65)))</f>
        <v>0</v>
      </c>
      <c r="GL65" s="19"/>
      <c r="GM65" s="19">
        <f t="shared" si="54"/>
        <v>0</v>
      </c>
      <c r="GN65" s="19">
        <f t="shared" si="55"/>
        <v>0</v>
      </c>
      <c r="GO65" s="19">
        <f t="shared" si="56"/>
        <v>0</v>
      </c>
      <c r="GP65" s="19">
        <f t="shared" si="121"/>
        <v>0</v>
      </c>
      <c r="GQ65" s="19">
        <f t="shared" si="57"/>
        <v>0</v>
      </c>
      <c r="GR65" s="19">
        <f t="shared" si="58"/>
        <v>0</v>
      </c>
      <c r="GS65" s="19">
        <f t="shared" si="59"/>
        <v>0</v>
      </c>
      <c r="GT65" s="19">
        <f t="shared" si="60"/>
        <v>0</v>
      </c>
      <c r="GU65" s="19">
        <f t="shared" si="61"/>
        <v>0</v>
      </c>
      <c r="GV65" t="str">
        <f t="shared" si="122"/>
        <v/>
      </c>
      <c r="GW65" t="str">
        <f t="shared" si="62"/>
        <v/>
      </c>
      <c r="GX65" t="str">
        <f t="shared" si="123"/>
        <v/>
      </c>
      <c r="GY65" t="str">
        <f t="shared" si="63"/>
        <v/>
      </c>
      <c r="GZ65" t="str">
        <f t="shared" si="124"/>
        <v/>
      </c>
    </row>
    <row r="66" spans="1:208" ht="18.75" customHeight="1" x14ac:dyDescent="0.15">
      <c r="A66">
        <v>55</v>
      </c>
      <c r="B66" s="15" t="str">
        <f>IF(D66="","",IF(D66="重複","",COUNTIF(B$12:$B65,"&gt;0")+1))</f>
        <v/>
      </c>
      <c r="C66" s="713"/>
      <c r="D66" s="185"/>
      <c r="E66" s="185"/>
      <c r="F66" s="36"/>
      <c r="G66" s="47"/>
      <c r="H66" s="402">
        <f t="shared" si="112"/>
        <v>0</v>
      </c>
      <c r="I66" s="201" t="str">
        <f>IF($BJ66=0,"",DATEDIF($BJ66,参照データ!$D$16,"Y"))</f>
        <v/>
      </c>
      <c r="J66" s="41"/>
      <c r="K66" s="41"/>
      <c r="L66" s="41"/>
      <c r="M66" s="41"/>
      <c r="N66" s="41"/>
      <c r="O66" s="49"/>
      <c r="P66" s="395"/>
      <c r="Q66" s="51"/>
      <c r="R66" s="289"/>
      <c r="S66" s="289"/>
      <c r="T66" s="289"/>
      <c r="U66" s="290"/>
      <c r="V66" s="293"/>
      <c r="W66" s="295"/>
      <c r="Y66" s="446"/>
      <c r="Z66" s="396" t="str">
        <f>IF($Y66="オープン",VLOOKUP($CO66,参照データ!$D$69:$M$86,9,0),IF($Y66="選手権",VLOOKUP($FC66,参照データ!$D$92:$O$121,10,0),""))</f>
        <v/>
      </c>
      <c r="AA66" s="446"/>
      <c r="AB66" s="666" t="str">
        <f>IF($AA66="オープン",VLOOKUP($CO66,参照データ!$D$69:$M$86,10,0),IF($AA66="選手権",VLOOKUP($FC66,参照データ!$D$92:$O$121,11,0),""))</f>
        <v/>
      </c>
      <c r="AC66" s="669"/>
      <c r="AD66" s="396" t="str">
        <f>IF($AC66="オープン",VLOOKUP($CO66,参照データ!$D$69:$M$86,10,0),IF($AC66="選手権",VLOOKUP($FC66,参照データ!$D$92:$O$121,11,0),""))</f>
        <v/>
      </c>
      <c r="AE66" s="446"/>
      <c r="AF66" s="396" t="str">
        <f>IF($AE66="オープン",VLOOKUP($CO66,参照データ!$D$69:$M$86,10,0),IF($AE66="選手権",VLOOKUP($FJ66,参照データ!$D$92:$O$121,12,0),""))</f>
        <v/>
      </c>
      <c r="AG66" s="446"/>
      <c r="AH66" s="396" t="str">
        <f>IF($AG66="オープン",VLOOKUP($CO66,参照データ!$D$69:$M$86,10,0),IF($AG66="選手権",VLOOKUP($FJ66,参照データ!$D$92:$O$121,12,0),""))</f>
        <v/>
      </c>
      <c r="AI66" s="446"/>
      <c r="AJ66" s="449"/>
      <c r="AK66" s="396" t="str">
        <f t="shared" si="113"/>
        <v/>
      </c>
      <c r="AL66" s="587"/>
      <c r="AM66" s="588" t="str">
        <f>IF($BJ66=0,"",DATEDIF($BJ66,参照データ!$D$17,"Y"))</f>
        <v/>
      </c>
      <c r="AN66" s="450"/>
      <c r="AO66" s="591" t="str">
        <f>IF(AN66="","",IF($BK66="男子",VLOOKUP($DI66,参照データ!$D$128:$M$145,10,FALSE),VLOOKUP($DH66,参照データ!$D$128:$M$145,10,FALSE)))</f>
        <v/>
      </c>
      <c r="AP66" s="450"/>
      <c r="AQ66" s="591" t="str">
        <f>IF(AP66="","",IF($BK66="男子",VLOOKUP($DI66,参照データ!$D$128:$M$145,10,FALSE),VLOOKUP($DH66,参照データ!$D$128:$M$145,10,FALSE)))</f>
        <v/>
      </c>
      <c r="AR66" s="450"/>
      <c r="AS66" s="591" t="str">
        <f>IF(AR66="","",IF($BK66="男子",VLOOKUP($DI66,参照データ!$D$128:$M$145,10,FALSE),VLOOKUP($DH66,参照データ!$D$128:$M$145,10,FALSE)))</f>
        <v/>
      </c>
      <c r="AT66" s="450"/>
      <c r="AU66" s="591" t="str">
        <f>IF(AT66="","",IF($BK66="男子",VLOOKUP($DI66,参照データ!$D$128:$M$145,10,FALSE),VLOOKUP($DH66,参照データ!$D$128:$M$145,10,FALSE)))</f>
        <v/>
      </c>
      <c r="AV66" s="448"/>
      <c r="AW66" s="448"/>
      <c r="AX66" s="585" t="str">
        <f t="shared" si="25"/>
        <v/>
      </c>
      <c r="AY66" s="448"/>
      <c r="AZ66" s="448"/>
      <c r="BA66" s="585" t="str">
        <f t="shared" si="83"/>
        <v/>
      </c>
      <c r="BB66" s="677"/>
      <c r="BC66" s="724"/>
      <c r="BD66" s="640"/>
      <c r="BE66" s="482"/>
      <c r="BF66" s="365"/>
      <c r="BG66" s="366"/>
      <c r="BJ66">
        <f t="shared" si="75"/>
        <v>0</v>
      </c>
      <c r="BK66" t="str">
        <f t="shared" si="65"/>
        <v/>
      </c>
      <c r="BL66" s="146"/>
      <c r="BO66" s="61" t="str">
        <f>IF($BJ66=0,"",IF(AND($I66&gt;=6,$I66&lt;=19),VLOOKUP($I66,参照データ!$B$28:$C$41,2,0),IF($I66&lt;6,6,19)))</f>
        <v/>
      </c>
      <c r="BP66" s="178" t="str">
        <f>IF($J66=$BI$12,VLOOKUP($BO66,参照データ!$C$28:$I$41,2,0),"")</f>
        <v/>
      </c>
      <c r="BQ66" s="169" t="str">
        <f>IF($K66=$BI$12,VLOOKUP($BO66,参照データ!$C$28:$I$41,3,0),"")</f>
        <v/>
      </c>
      <c r="BR66" s="169" t="str">
        <f>IF($L66=$BI$12,VLOOKUP($BO66,参照データ!$C$28:$I$41,4,0),"")</f>
        <v/>
      </c>
      <c r="BS66" s="169" t="str">
        <f>IF($M66=$BI$12,VLOOKUP($BO66,参照データ!$C$28:$I$41,5,0),"")</f>
        <v/>
      </c>
      <c r="BT66" s="169" t="str">
        <f>IF($N66=$BI$12,VLOOKUP($BO66,参照データ!$C$28:$I$41,6,0),"")</f>
        <v/>
      </c>
      <c r="BU66" s="179" t="str">
        <f>IF($O66=$BI$12,VLOOKUP($BO66,参照データ!$C$28:$I$41,7,0),"")</f>
        <v/>
      </c>
      <c r="BV66" s="178" t="str">
        <f>IF($J66=$BI$13,VLOOKUP($BO66,参照データ!$C$28:$I$41,2,0),"")</f>
        <v/>
      </c>
      <c r="BW66" s="169" t="str">
        <f>IF($K66=$BI$13,VLOOKUP($BO66,参照データ!$C$28:$I$41,3,0),"")</f>
        <v/>
      </c>
      <c r="BX66" s="169" t="str">
        <f>IF($L66=$BI$13,VLOOKUP($BO66,参照データ!$C$28:$I$41,4,0),"")</f>
        <v/>
      </c>
      <c r="BY66" s="169" t="str">
        <f>IF($M66=$BI$13,VLOOKUP($BO66,参照データ!$C$28:$I$41,5,0),"")</f>
        <v/>
      </c>
      <c r="BZ66" s="169" t="str">
        <f>IF($N66=$BI$13,VLOOKUP($BO66,参照データ!$C$28:$I$41,6,0),"")</f>
        <v/>
      </c>
      <c r="CA66" s="179" t="str">
        <f>IF($O66=$BI$13,VLOOKUP($BO66,参照データ!$C$28:$I$41,7,0),"")</f>
        <v/>
      </c>
      <c r="CB66" s="271" t="str">
        <f t="shared" si="26"/>
        <v/>
      </c>
      <c r="CC66" s="177" t="str">
        <f>IF($Q66="入門",VLOOKUP($BO66,参照データ!$C$47:$U$60,2,0),IF($Q66="初級",VLOOKUP($BO66,参照データ!$C$47:$U$60,3,0),IF($Q66="中級",VLOOKUP($BO66,参照データ!$C$47:$U$60,4,0),IF($Q66="上級",VLOOKUP($BO66,参照データ!$C$47:$U$60,5,0),""))))</f>
        <v/>
      </c>
      <c r="CD66" s="177" t="str">
        <f>IF($R66="初級",VLOOKUP($BO66,参照データ!$C$47:$U$60,6,0),IF($R66="中級",VLOOKUP($BO66,参照データ!$C$47:$U$60,7,0),IF($R66="上級",VLOOKUP($BO66,参照データ!$C$47:$U$60,8,0),"")))</f>
        <v/>
      </c>
      <c r="CE66" s="177" t="str">
        <f>IF($S66="初級",VLOOKUP($BO66,参照データ!$C$47:$U$60,9,0),IF($S66="上級",VLOOKUP($BO66,参照データ!$C$47:$U$60,10,0),""))</f>
        <v/>
      </c>
      <c r="CF66" s="177" t="str">
        <f>IF($T66="初級",VLOOKUP($BO66,参照データ!$C$47:$U$60,11,0),IF($T66="中級",VLOOKUP($BO66,参照データ!$C$47:$U$60,12,0),IF($T66="上級",VLOOKUP($BO66,参照データ!$C$47:$U$60,13,0),"")))</f>
        <v/>
      </c>
      <c r="CG66" s="177" t="str">
        <f>IF($U66="初級",VLOOKUP($BO66,参照データ!$C$47:$U$60,14,0),IF($U66="中級",VLOOKUP($BO66,参照データ!$C$47:$U$60,15,0),IF($U66="上級",VLOOKUP($BO66,参照データ!$C$47:$U$60,16,0),"")))</f>
        <v/>
      </c>
      <c r="CH66" s="55" t="str">
        <f t="shared" si="5"/>
        <v/>
      </c>
      <c r="CI66" s="55" t="str">
        <f>IF($V66="初級",VLOOKUP($BO66,参照データ!$C$47:$U$60,17,0),IF($V66="中級",VLOOKUP($BO66,参照データ!$C$47:$U$60,18,0),IF($V66="上級",VLOOKUP($BO66,参照データ!$C$47:$U$60,19,0),"")))</f>
        <v/>
      </c>
      <c r="CJ66" s="867">
        <v>28</v>
      </c>
      <c r="CK66" s="74" t="s">
        <v>290</v>
      </c>
      <c r="CL66" s="151" t="str">
        <f t="shared" si="6"/>
        <v/>
      </c>
      <c r="CM66" s="871" t="str">
        <f t="shared" ref="CM66" si="154">IF(OR($CL66="",$CL67=""),"",IF($CL66&gt;$CL67,$CL66,$CL67))</f>
        <v/>
      </c>
      <c r="CO66" s="61">
        <f>IF(AND($BJ66&gt;=参照データ!$C$71,$BJ66&lt;=参照データ!$C$69),1,IF(AND($BJ66&gt;=参照データ!$C$74,$BJ66&lt;=参照データ!$C$72),2,IF(AND($BJ66&gt;=参照データ!$C$77,$BJ66&lt;=参照データ!$C$75),3,IF(AND($BJ66&gt;=参照データ!$C$80,$BJ66&lt;=参照データ!$C$78),4,IF(AND($BJ66&gt;=参照データ!$C$83,$BJ66&lt;=参照データ!$C$81),5,IF(AND($BJ66&gt;0,$BJ66&lt;=参照データ!$C$84),6,""))))))</f>
        <v>5</v>
      </c>
      <c r="CP66" s="160" t="str">
        <f>IF($Y66="オープン",(VLOOKUP($CO66,参照データ!$D$69:$J$86,2,0)),"")</f>
        <v/>
      </c>
      <c r="CQ66" s="79" t="str">
        <f t="shared" si="27"/>
        <v/>
      </c>
      <c r="CR66" s="78" t="str">
        <f>IF($AA66="オープン",(VLOOKUP($CO66,参照データ!$D$69:$J$86,3,0)),"")</f>
        <v/>
      </c>
      <c r="CS66" s="79" t="str">
        <f t="shared" si="28"/>
        <v/>
      </c>
      <c r="CT66" s="78" t="str">
        <f>IF($AC66="オープン",(VLOOKUP($CO66,参照データ!$D$69:$J$86,4,0)),"")</f>
        <v/>
      </c>
      <c r="CU66" s="79" t="str">
        <f t="shared" si="29"/>
        <v/>
      </c>
      <c r="CV66" s="78" t="str">
        <f>IF($AE66="オープン",(VLOOKUP($CO66,参照データ!$D$69:$J$86,5,0)),"")</f>
        <v/>
      </c>
      <c r="CW66" s="79" t="str">
        <f t="shared" si="7"/>
        <v/>
      </c>
      <c r="CX66" s="78" t="str">
        <f>IF($AG66="オープン",(VLOOKUP($CO66,参照データ!$D$69:$J$86,6,0)),"")</f>
        <v/>
      </c>
      <c r="CY66" s="79" t="str">
        <f t="shared" si="30"/>
        <v/>
      </c>
      <c r="CZ66" s="38" t="str">
        <f t="shared" si="31"/>
        <v/>
      </c>
      <c r="DA66" s="37" t="str">
        <f t="shared" si="32"/>
        <v/>
      </c>
      <c r="DB66" s="79" t="str">
        <f t="shared" si="33"/>
        <v/>
      </c>
      <c r="DC66" s="857">
        <v>28</v>
      </c>
      <c r="DD66" s="87" t="s">
        <v>140</v>
      </c>
      <c r="DE66" s="88" t="str">
        <f t="shared" si="34"/>
        <v/>
      </c>
      <c r="DF66" s="859" t="e">
        <f>IF($DE66&gt;$DE67,VLOOKUP($DE66,参照データ!$D$69:$J$86,7,0),VLOOKUP($DE67,参照データ!$D$69:$J$86,7,0))</f>
        <v>#N/A</v>
      </c>
      <c r="DG66" s="350" t="str">
        <f>IFERROR(VLOOKUP($DF66,参照データ!$J$69:$M$86,4,0),"")</f>
        <v/>
      </c>
      <c r="DH66" s="523">
        <f>IF(AND($BJ66&gt;=参照データ!$C$130,$BJ66&lt;=参照データ!$C$128),1,IF(AND($BJ66&gt;=参照データ!$C$133,$BJ66&lt;=参照データ!$C$131),2,IF(AND($BJ66&gt;=参照データ!$C$139,$BJ66&lt;=参照データ!$C$137),3,IF(AND($BJ66&gt;0,$BJ66&lt;=参照データ!$C$140),4,""))))</f>
        <v>1</v>
      </c>
      <c r="DI66" s="523">
        <f t="shared" si="35"/>
        <v>7</v>
      </c>
      <c r="DJ66" s="523" t="str">
        <f t="shared" si="36"/>
        <v/>
      </c>
      <c r="DK66" s="524" t="str">
        <f>IF($AN66="","",IF(AND($AN66="○",$BK66="男子"),VLOOKUP($DI66,参照データ!$D$128:$J$145,3,FALSE),VLOOKUP($DH66,参照データ!$D$128:$J$145,3,FALSE)))</f>
        <v/>
      </c>
      <c r="DL66" s="525" t="str">
        <f t="shared" si="37"/>
        <v/>
      </c>
      <c r="DM66" s="524" t="str">
        <f>IF($AP66="","",IF(AND($AP66="○",$BK66="男子"),VLOOKUP($DI66,参照データ!$D$128:$J$145,4,FALSE),VLOOKUP($DH66,参照データ!$D$128:$J$145,4,FALSE)))</f>
        <v/>
      </c>
      <c r="DN66" s="525" t="str">
        <f t="shared" si="38"/>
        <v/>
      </c>
      <c r="DO66" s="524" t="str">
        <f>IF($AR66="","",IF(AND($AR66="○",$BK66="男子"),VLOOKUP($DI66,参照データ!$D$128:$J$145,5,FALSE),VLOOKUP($DH66,参照データ!$D$128:$J$145,5,FALSE)))</f>
        <v/>
      </c>
      <c r="DP66" s="525" t="str">
        <f t="shared" si="39"/>
        <v/>
      </c>
      <c r="DQ66" s="524" t="str">
        <f>IF($AT66="","",IF(AND($AT66="○",$BK66="男子"),VLOOKUP($DI66,参照データ!$D$128:$J$145,6,FALSE),VLOOKUP($DH66,参照データ!$D$128:$J$145,6,FALSE)))</f>
        <v/>
      </c>
      <c r="DR66" s="525" t="str">
        <f t="shared" si="40"/>
        <v/>
      </c>
      <c r="DS66" s="526" t="str">
        <f t="shared" si="41"/>
        <v/>
      </c>
      <c r="DT66" s="527" t="str">
        <f t="shared" si="42"/>
        <v/>
      </c>
      <c r="DU66" s="528" t="str">
        <f t="shared" si="43"/>
        <v/>
      </c>
      <c r="DV66" s="982">
        <v>28</v>
      </c>
      <c r="DW66" s="533" t="s">
        <v>140</v>
      </c>
      <c r="DX66" s="534" t="str">
        <f t="shared" si="92"/>
        <v/>
      </c>
      <c r="DY66" s="877" t="e">
        <f>IF($DX66&gt;$DX67,VLOOKUP($DX66,参照データ!$D$128:$K$145,7,0),VLOOKUP($DX67,参照データ!$D$128:$K$145,7,0))</f>
        <v>#N/A</v>
      </c>
      <c r="DZ66" s="692" t="str">
        <f>IFERROR(VLOOKUP($DY66,参照データ!$J$128:$N$145,5,0),"")</f>
        <v/>
      </c>
      <c r="EA66" s="526" t="str">
        <f t="shared" si="85"/>
        <v/>
      </c>
      <c r="EB66" s="527" t="str">
        <f t="shared" si="86"/>
        <v/>
      </c>
      <c r="EC66" s="528" t="str">
        <f t="shared" si="87"/>
        <v/>
      </c>
      <c r="ED66" s="982">
        <v>28</v>
      </c>
      <c r="EE66" s="533" t="s">
        <v>140</v>
      </c>
      <c r="EF66" s="533" t="str">
        <f t="shared" si="88"/>
        <v/>
      </c>
      <c r="EG66" s="534" t="str">
        <f>IF(SUM(EF66:EF67)&lt;24,"",IF(SUM(EF66:EF67)&gt;=36,3,2))</f>
        <v/>
      </c>
      <c r="EH66" s="877" t="e">
        <f>IF($EG66&gt;$EG67,VLOOKUP($EG66,参照データ!$D$128:$K$145,8,0),VLOOKUP($EG67,参照データ!$D$128:$K$145,8,0))</f>
        <v>#N/A</v>
      </c>
      <c r="EI66" s="527" t="str">
        <f>IFERROR(VLOOKUP($EH66,参照データ!$K$128:$N$145,4,0),"")</f>
        <v/>
      </c>
      <c r="EJ66" s="555" t="str">
        <f t="shared" si="13"/>
        <v/>
      </c>
      <c r="EK66" s="556" t="str">
        <f t="shared" si="44"/>
        <v/>
      </c>
      <c r="EL66" s="846"/>
      <c r="EM66" s="561" t="s">
        <v>826</v>
      </c>
      <c r="EN66" s="562" t="str">
        <f t="shared" si="45"/>
        <v/>
      </c>
      <c r="EO66" s="849"/>
      <c r="EP66" s="555" t="str">
        <f t="shared" si="115"/>
        <v/>
      </c>
      <c r="EQ66" s="556" t="str">
        <f t="shared" si="46"/>
        <v/>
      </c>
      <c r="ER66" s="846"/>
      <c r="ES66" s="561" t="s">
        <v>826</v>
      </c>
      <c r="ET66" s="562" t="str">
        <f t="shared" si="47"/>
        <v/>
      </c>
      <c r="EU66" s="849"/>
      <c r="EV66" s="38" t="str">
        <f t="shared" si="116"/>
        <v/>
      </c>
      <c r="EW66" s="552" t="str">
        <f t="shared" si="48"/>
        <v/>
      </c>
      <c r="EX66" s="833"/>
      <c r="EY66" s="559" t="s">
        <v>846</v>
      </c>
      <c r="EZ66" s="560" t="str">
        <f t="shared" si="49"/>
        <v/>
      </c>
      <c r="FA66" s="835"/>
      <c r="FB66" t="str">
        <f>IF($FC66="","",DATEDIF($BJ66,参照データ!$D$19,"Y"))</f>
        <v/>
      </c>
      <c r="FC66" s="298" t="str">
        <f>IFERROR(IF($BK66="男子",VLOOKUP($FJ66,参照データ!$D$92:$E$118,2,0),$FJ66),0)</f>
        <v/>
      </c>
      <c r="FD66" s="92" t="str">
        <f>IF($Y66="選手権",(VLOOKUP($FC66,参照データ!$D$92:$K$121,3,0)),"")</f>
        <v/>
      </c>
      <c r="FE66" s="93" t="str">
        <f t="shared" si="117"/>
        <v/>
      </c>
      <c r="FF66" s="92" t="str">
        <f>IF($AA66="選手権",(VLOOKUP($FC66,参照データ!$D$92:$K$121,4,0)),"")</f>
        <v/>
      </c>
      <c r="FG66" s="93" t="str">
        <f t="shared" si="118"/>
        <v/>
      </c>
      <c r="FH66" s="92" t="str">
        <f>IF($AC66="選手権",(VLOOKUP($FC66,参照データ!$D$92:$K$121,5,0)),"")</f>
        <v/>
      </c>
      <c r="FI66" s="93" t="str">
        <f t="shared" si="119"/>
        <v/>
      </c>
      <c r="FJ66" s="61" t="str">
        <f>IF(AND($BJ66&gt;=参照データ!$C$94,$BJ66&lt;=参照データ!$C$92),1,IF(AND($BJ66&gt;=参照データ!$C$97,$BJ66&lt;=参照データ!$C$95),2,IF(AND($BJ66&gt;=参照データ!$C$103,$BJ66&lt;=参照データ!$C$101),3,IF(AND($BJ66&gt;=参照データ!$C$109,$BJ66&lt;=参照データ!$C$107),4,IF(AND($BJ66&gt;=参照データ!$C$115,$BJ66&lt;=参照データ!$C$113),5,IF(AND($BJ66&gt;0,$BJ66&lt;=参照データ!$C$116),6,""))))))</f>
        <v/>
      </c>
      <c r="FK66" s="92" t="str">
        <f>IF($AE66="選手権",(VLOOKUP($FJ66,参照データ!$D$92:$K$121,6,0)),"")</f>
        <v/>
      </c>
      <c r="FL66" s="93" t="str">
        <f t="shared" si="19"/>
        <v/>
      </c>
      <c r="FM66" s="92" t="str">
        <f>IF($AG66="選手権",(VLOOKUP($FJ66,参照データ!$D$92:$K$121,7,0)),"")</f>
        <v/>
      </c>
      <c r="FN66" s="93" t="str">
        <f t="shared" si="50"/>
        <v/>
      </c>
      <c r="FO66" s="38" t="str">
        <f t="shared" si="51"/>
        <v/>
      </c>
      <c r="FP66" s="37" t="str">
        <f t="shared" si="52"/>
        <v/>
      </c>
      <c r="FQ66" s="93" t="str">
        <f t="shared" si="53"/>
        <v/>
      </c>
      <c r="FR66" s="979">
        <v>28</v>
      </c>
      <c r="FS66" s="101" t="s">
        <v>140</v>
      </c>
      <c r="FT66" s="102" t="str">
        <f t="shared" si="120"/>
        <v/>
      </c>
      <c r="FU66" s="980" t="e">
        <f>IF($FT66&gt;$FT67,VLOOKUP($FT66,参照データ!$D$92:$K$121,8,0),VLOOKUP($FT67,参照データ!$D$92:$K$121,8,0))</f>
        <v>#N/A</v>
      </c>
      <c r="FV66" s="356" t="str">
        <f>IFERROR(VLOOKUP($FU66,参照データ!$K$92:$O$121,5,0),"")</f>
        <v/>
      </c>
      <c r="FY66" s="40">
        <f>(COUNTIF($J66:$O66,"&lt;&gt;"))*参照データ!$E$3</f>
        <v>0</v>
      </c>
      <c r="FZ66" s="267" t="str">
        <f>IF($P66="○",参照データ!$E$4,"")</f>
        <v/>
      </c>
      <c r="GA66" s="19">
        <f>(SUM(COUNTIF($Q66:$U66,{"入門","初級"}))*参照データ!$E$9)+(SUM(COUNTIF($Q66:$U66,{"中級","上級"})*参照データ!$E$10))</f>
        <v>0</v>
      </c>
      <c r="GB66" s="19">
        <f>IFERROR(VLOOKUP($V66,参照データ!$D$9:$J$11,7,0),0)</f>
        <v>0</v>
      </c>
      <c r="GC66" s="19">
        <f>((COUNTIF($Y66:$AG66,"オープン"))*参照データ!$E$12)</f>
        <v>0</v>
      </c>
      <c r="GD66" s="19" t="str">
        <f>(IF($AI66="オープン",参照データ!$J$12,""))</f>
        <v/>
      </c>
      <c r="GE66" s="19">
        <f>(COUNTIF($AN66:$AU66,"○")*参照データ!$E$22)</f>
        <v>0</v>
      </c>
      <c r="GF66" s="19">
        <f>(COUNTIF($AV66:$BA66,"○")*参照データ!$I$22)</f>
        <v>0</v>
      </c>
      <c r="GI66" s="19">
        <f>((COUNTIF($Y66:$AG66,"選手権"))*参照データ!$E$13)</f>
        <v>0</v>
      </c>
      <c r="GJ66" s="19" t="str">
        <f>(IF($AI66="選手権",参照データ!$J$13,""))</f>
        <v/>
      </c>
      <c r="GK66" s="106">
        <f t="array" ref="GK66">SUM(IF(ISERROR(FY66:GJ66),0,(FY66:GJ66)))</f>
        <v>0</v>
      </c>
      <c r="GL66" s="19"/>
      <c r="GM66" s="19">
        <f t="shared" si="54"/>
        <v>0</v>
      </c>
      <c r="GN66" s="19">
        <f t="shared" si="55"/>
        <v>0</v>
      </c>
      <c r="GO66" s="19">
        <f t="shared" si="56"/>
        <v>0</v>
      </c>
      <c r="GP66" s="19">
        <f t="shared" si="121"/>
        <v>0</v>
      </c>
      <c r="GQ66" s="19">
        <f t="shared" si="57"/>
        <v>0</v>
      </c>
      <c r="GR66" s="19">
        <f t="shared" si="58"/>
        <v>0</v>
      </c>
      <c r="GS66" s="19">
        <f t="shared" si="59"/>
        <v>0</v>
      </c>
      <c r="GT66" s="19">
        <f t="shared" si="60"/>
        <v>0</v>
      </c>
      <c r="GU66" s="19">
        <f t="shared" si="61"/>
        <v>0</v>
      </c>
      <c r="GV66" t="str">
        <f t="shared" si="122"/>
        <v/>
      </c>
      <c r="GW66" t="str">
        <f t="shared" si="62"/>
        <v/>
      </c>
      <c r="GX66" t="str">
        <f t="shared" si="123"/>
        <v/>
      </c>
      <c r="GY66" t="str">
        <f t="shared" si="63"/>
        <v/>
      </c>
      <c r="GZ66" t="str">
        <f t="shared" si="124"/>
        <v/>
      </c>
    </row>
    <row r="67" spans="1:208" ht="18.75" customHeight="1" x14ac:dyDescent="0.15">
      <c r="A67">
        <v>56</v>
      </c>
      <c r="B67" s="15" t="str">
        <f>IF(D67="","",IF(D67="重複","",COUNTIF(B$12:$B66,"&gt;0")+1))</f>
        <v/>
      </c>
      <c r="C67" s="713"/>
      <c r="D67" s="185"/>
      <c r="E67" s="185"/>
      <c r="F67" s="36"/>
      <c r="G67" s="47"/>
      <c r="H67" s="402">
        <f t="shared" si="112"/>
        <v>0</v>
      </c>
      <c r="I67" s="201" t="str">
        <f>IF($BJ67=0,"",DATEDIF($BJ67,参照データ!$D$16,"Y"))</f>
        <v/>
      </c>
      <c r="J67" s="41"/>
      <c r="K67" s="41"/>
      <c r="L67" s="41"/>
      <c r="M67" s="41"/>
      <c r="N67" s="41"/>
      <c r="O67" s="49"/>
      <c r="P67" s="395"/>
      <c r="Q67" s="51"/>
      <c r="R67" s="289"/>
      <c r="S67" s="289"/>
      <c r="T67" s="289"/>
      <c r="U67" s="290"/>
      <c r="V67" s="293"/>
      <c r="W67" s="295"/>
      <c r="Y67" s="446"/>
      <c r="Z67" s="396" t="str">
        <f>IF($Y67="オープン",VLOOKUP($CO67,参照データ!$D$69:$M$86,9,0),IF($Y67="選手権",VLOOKUP($FC67,参照データ!$D$92:$O$121,10,0),""))</f>
        <v/>
      </c>
      <c r="AA67" s="446"/>
      <c r="AB67" s="666" t="str">
        <f>IF($AA67="オープン",VLOOKUP($CO67,参照データ!$D$69:$M$86,10,0),IF($AA67="選手権",VLOOKUP($FC67,参照データ!$D$92:$O$121,11,0),""))</f>
        <v/>
      </c>
      <c r="AC67" s="669"/>
      <c r="AD67" s="396" t="str">
        <f>IF($AC67="オープン",VLOOKUP($CO67,参照データ!$D$69:$M$86,10,0),IF($AC67="選手権",VLOOKUP($FC67,参照データ!$D$92:$O$121,11,0),""))</f>
        <v/>
      </c>
      <c r="AE67" s="446"/>
      <c r="AF67" s="396" t="str">
        <f>IF($AE67="オープン",VLOOKUP($CO67,参照データ!$D$69:$M$86,10,0),IF($AE67="選手権",VLOOKUP($FJ67,参照データ!$D$92:$O$121,12,0),""))</f>
        <v/>
      </c>
      <c r="AG67" s="446"/>
      <c r="AH67" s="396" t="str">
        <f>IF($AG67="オープン",VLOOKUP($CO67,参照データ!$D$69:$M$86,10,0),IF($AG67="選手権",VLOOKUP($FJ67,参照データ!$D$92:$O$121,12,0),""))</f>
        <v/>
      </c>
      <c r="AI67" s="446"/>
      <c r="AJ67" s="449"/>
      <c r="AK67" s="396" t="str">
        <f t="shared" si="113"/>
        <v/>
      </c>
      <c r="AL67" s="587"/>
      <c r="AM67" s="588" t="str">
        <f>IF($BJ67=0,"",DATEDIF($BJ67,参照データ!$D$17,"Y"))</f>
        <v/>
      </c>
      <c r="AN67" s="450"/>
      <c r="AO67" s="591" t="str">
        <f>IF(AN67="","",IF($BK67="男子",VLOOKUP($DI67,参照データ!$D$128:$M$145,10,FALSE),VLOOKUP($DH67,参照データ!$D$128:$M$145,10,FALSE)))</f>
        <v/>
      </c>
      <c r="AP67" s="450"/>
      <c r="AQ67" s="591" t="str">
        <f>IF(AP67="","",IF($BK67="男子",VLOOKUP($DI67,参照データ!$D$128:$M$145,10,FALSE),VLOOKUP($DH67,参照データ!$D$128:$M$145,10,FALSE)))</f>
        <v/>
      </c>
      <c r="AR67" s="450"/>
      <c r="AS67" s="591" t="str">
        <f>IF(AR67="","",IF($BK67="男子",VLOOKUP($DI67,参照データ!$D$128:$M$145,10,FALSE),VLOOKUP($DH67,参照データ!$D$128:$M$145,10,FALSE)))</f>
        <v/>
      </c>
      <c r="AT67" s="450"/>
      <c r="AU67" s="591" t="str">
        <f>IF(AT67="","",IF($BK67="男子",VLOOKUP($DI67,参照データ!$D$128:$M$145,10,FALSE),VLOOKUP($DH67,参照データ!$D$128:$M$145,10,FALSE)))</f>
        <v/>
      </c>
      <c r="AV67" s="448"/>
      <c r="AW67" s="448"/>
      <c r="AX67" s="585" t="str">
        <f t="shared" si="25"/>
        <v/>
      </c>
      <c r="AY67" s="448"/>
      <c r="AZ67" s="448"/>
      <c r="BA67" s="585" t="str">
        <f t="shared" si="83"/>
        <v/>
      </c>
      <c r="BB67" s="677"/>
      <c r="BC67" s="724"/>
      <c r="BD67" s="640"/>
      <c r="BE67" s="482"/>
      <c r="BF67" s="365"/>
      <c r="BG67" s="366"/>
      <c r="BJ67">
        <f t="shared" si="75"/>
        <v>0</v>
      </c>
      <c r="BK67" t="str">
        <f t="shared" si="65"/>
        <v/>
      </c>
      <c r="BL67" s="146"/>
      <c r="BO67" s="61" t="str">
        <f>IF($BJ67=0,"",IF(AND($I67&gt;=6,$I67&lt;=19),VLOOKUP($I67,参照データ!$B$28:$C$41,2,0),IF($I67&lt;6,6,19)))</f>
        <v/>
      </c>
      <c r="BP67" s="178" t="str">
        <f>IF($J67=$BI$12,VLOOKUP($BO67,参照データ!$C$28:$I$41,2,0),"")</f>
        <v/>
      </c>
      <c r="BQ67" s="169" t="str">
        <f>IF($K67=$BI$12,VLOOKUP($BO67,参照データ!$C$28:$I$41,3,0),"")</f>
        <v/>
      </c>
      <c r="BR67" s="169" t="str">
        <f>IF($L67=$BI$12,VLOOKUP($BO67,参照データ!$C$28:$I$41,4,0),"")</f>
        <v/>
      </c>
      <c r="BS67" s="169" t="str">
        <f>IF($M67=$BI$12,VLOOKUP($BO67,参照データ!$C$28:$I$41,5,0),"")</f>
        <v/>
      </c>
      <c r="BT67" s="169" t="str">
        <f>IF($N67=$BI$12,VLOOKUP($BO67,参照データ!$C$28:$I$41,6,0),"")</f>
        <v/>
      </c>
      <c r="BU67" s="179" t="str">
        <f>IF($O67=$BI$12,VLOOKUP($BO67,参照データ!$C$28:$I$41,7,0),"")</f>
        <v/>
      </c>
      <c r="BV67" s="178" t="str">
        <f>IF($J67=$BI$13,VLOOKUP($BO67,参照データ!$C$28:$I$41,2,0),"")</f>
        <v/>
      </c>
      <c r="BW67" s="169" t="str">
        <f>IF($K67=$BI$13,VLOOKUP($BO67,参照データ!$C$28:$I$41,3,0),"")</f>
        <v/>
      </c>
      <c r="BX67" s="169" t="str">
        <f>IF($L67=$BI$13,VLOOKUP($BO67,参照データ!$C$28:$I$41,4,0),"")</f>
        <v/>
      </c>
      <c r="BY67" s="169" t="str">
        <f>IF($M67=$BI$13,VLOOKUP($BO67,参照データ!$C$28:$I$41,5,0),"")</f>
        <v/>
      </c>
      <c r="BZ67" s="169" t="str">
        <f>IF($N67=$BI$13,VLOOKUP($BO67,参照データ!$C$28:$I$41,6,0),"")</f>
        <v/>
      </c>
      <c r="CA67" s="179" t="str">
        <f>IF($O67=$BI$13,VLOOKUP($BO67,参照データ!$C$28:$I$41,7,0),"")</f>
        <v/>
      </c>
      <c r="CB67" s="271" t="str">
        <f t="shared" si="26"/>
        <v/>
      </c>
      <c r="CC67" s="177" t="str">
        <f>IF($Q67="入門",VLOOKUP($BO67,参照データ!$C$47:$U$60,2,0),IF($Q67="初級",VLOOKUP($BO67,参照データ!$C$47:$U$60,3,0),IF($Q67="中級",VLOOKUP($BO67,参照データ!$C$47:$U$60,4,0),IF($Q67="上級",VLOOKUP($BO67,参照データ!$C$47:$U$60,5,0),""))))</f>
        <v/>
      </c>
      <c r="CD67" s="177" t="str">
        <f>IF($R67="初級",VLOOKUP($BO67,参照データ!$C$47:$U$60,6,0),IF($R67="中級",VLOOKUP($BO67,参照データ!$C$47:$U$60,7,0),IF($R67="上級",VLOOKUP($BO67,参照データ!$C$47:$U$60,8,0),"")))</f>
        <v/>
      </c>
      <c r="CE67" s="177" t="str">
        <f>IF($S67="初級",VLOOKUP($BO67,参照データ!$C$47:$U$60,9,0),IF($S67="上級",VLOOKUP($BO67,参照データ!$C$47:$U$60,10,0),""))</f>
        <v/>
      </c>
      <c r="CF67" s="177" t="str">
        <f>IF($T67="初級",VLOOKUP($BO67,参照データ!$C$47:$U$60,11,0),IF($T67="中級",VLOOKUP($BO67,参照データ!$C$47:$U$60,12,0),IF($T67="上級",VLOOKUP($BO67,参照データ!$C$47:$U$60,13,0),"")))</f>
        <v/>
      </c>
      <c r="CG67" s="177" t="str">
        <f>IF($U67="初級",VLOOKUP($BO67,参照データ!$C$47:$U$60,14,0),IF($U67="中級",VLOOKUP($BO67,参照データ!$C$47:$U$60,15,0),IF($U67="上級",VLOOKUP($BO67,参照データ!$C$47:$U$60,16,0),"")))</f>
        <v/>
      </c>
      <c r="CH67" s="55" t="str">
        <f t="shared" si="5"/>
        <v/>
      </c>
      <c r="CI67" s="55" t="str">
        <f>IF($V67="初級",VLOOKUP($BO67,参照データ!$C$47:$U$60,17,0),IF($V67="中級",VLOOKUP($BO67,参照データ!$C$47:$U$60,18,0),IF($V67="上級",VLOOKUP($BO67,参照データ!$C$47:$U$60,19,0),"")))</f>
        <v/>
      </c>
      <c r="CJ67" s="868"/>
      <c r="CK67" s="73" t="s">
        <v>291</v>
      </c>
      <c r="CL67" s="150" t="str">
        <f t="shared" si="6"/>
        <v/>
      </c>
      <c r="CM67" s="872"/>
      <c r="CO67" s="61">
        <f>IF(AND($BJ67&gt;=参照データ!$C$71,$BJ67&lt;=参照データ!$C$69),1,IF(AND($BJ67&gt;=参照データ!$C$74,$BJ67&lt;=参照データ!$C$72),2,IF(AND($BJ67&gt;=参照データ!$C$77,$BJ67&lt;=参照データ!$C$75),3,IF(AND($BJ67&gt;=参照データ!$C$80,$BJ67&lt;=参照データ!$C$78),4,IF(AND($BJ67&gt;=参照データ!$C$83,$BJ67&lt;=参照データ!$C$81),5,IF(AND($BJ67&gt;0,$BJ67&lt;=参照データ!$C$84),6,""))))))</f>
        <v>5</v>
      </c>
      <c r="CP67" s="160" t="str">
        <f>IF($Y67="オープン",(VLOOKUP($CO67,参照データ!$D$69:$J$86,2,0)),"")</f>
        <v/>
      </c>
      <c r="CQ67" s="79" t="str">
        <f t="shared" si="27"/>
        <v/>
      </c>
      <c r="CR67" s="78" t="str">
        <f>IF($AA67="オープン",(VLOOKUP($CO67,参照データ!$D$69:$J$86,3,0)),"")</f>
        <v/>
      </c>
      <c r="CS67" s="79" t="str">
        <f t="shared" si="28"/>
        <v/>
      </c>
      <c r="CT67" s="78" t="str">
        <f>IF($AC67="オープン",(VLOOKUP($CO67,参照データ!$D$69:$J$86,4,0)),"")</f>
        <v/>
      </c>
      <c r="CU67" s="79" t="str">
        <f t="shared" si="29"/>
        <v/>
      </c>
      <c r="CV67" s="78" t="str">
        <f>IF($AE67="オープン",(VLOOKUP($CO67,参照データ!$D$69:$J$86,5,0)),"")</f>
        <v/>
      </c>
      <c r="CW67" s="79" t="str">
        <f t="shared" si="7"/>
        <v/>
      </c>
      <c r="CX67" s="78" t="str">
        <f>IF($AG67="オープン",(VLOOKUP($CO67,参照データ!$D$69:$J$86,6,0)),"")</f>
        <v/>
      </c>
      <c r="CY67" s="79" t="str">
        <f t="shared" si="30"/>
        <v/>
      </c>
      <c r="CZ67" s="38" t="str">
        <f t="shared" si="31"/>
        <v/>
      </c>
      <c r="DA67" s="37" t="str">
        <f t="shared" si="32"/>
        <v/>
      </c>
      <c r="DB67" s="79" t="str">
        <f t="shared" si="33"/>
        <v/>
      </c>
      <c r="DC67" s="858"/>
      <c r="DD67" s="85" t="s">
        <v>141</v>
      </c>
      <c r="DE67" s="86" t="str">
        <f t="shared" si="34"/>
        <v/>
      </c>
      <c r="DF67" s="860"/>
      <c r="DG67" s="350" t="str">
        <f t="shared" ref="DG67" si="155">$DG66</f>
        <v/>
      </c>
      <c r="DH67" s="523">
        <f>IF(AND($BJ67&gt;=参照データ!$C$130,$BJ67&lt;=参照データ!$C$128),1,IF(AND($BJ67&gt;=参照データ!$C$133,$BJ67&lt;=参照データ!$C$131),2,IF(AND($BJ67&gt;=参照データ!$C$139,$BJ67&lt;=参照データ!$C$137),3,IF(AND($BJ67&gt;0,$BJ67&lt;=参照データ!$C$140),4,""))))</f>
        <v>1</v>
      </c>
      <c r="DI67" s="523">
        <f t="shared" si="35"/>
        <v>7</v>
      </c>
      <c r="DJ67" s="523" t="str">
        <f t="shared" si="36"/>
        <v/>
      </c>
      <c r="DK67" s="524" t="str">
        <f>IF($AN67="","",IF(AND($AN67="○",$BK67="男子"),VLOOKUP($DI67,参照データ!$D$128:$J$145,3,FALSE),VLOOKUP($DH67,参照データ!$D$128:$J$145,3,FALSE)))</f>
        <v/>
      </c>
      <c r="DL67" s="525" t="str">
        <f t="shared" si="37"/>
        <v/>
      </c>
      <c r="DM67" s="524" t="str">
        <f>IF($AP67="","",IF(AND($AP67="○",$BK67="男子"),VLOOKUP($DI67,参照データ!$D$128:$J$145,4,FALSE),VLOOKUP($DH67,参照データ!$D$128:$J$145,4,FALSE)))</f>
        <v/>
      </c>
      <c r="DN67" s="525" t="str">
        <f t="shared" si="38"/>
        <v/>
      </c>
      <c r="DO67" s="524" t="str">
        <f>IF($AR67="","",IF(AND($AR67="○",$BK67="男子"),VLOOKUP($DI67,参照データ!$D$128:$J$145,5,FALSE),VLOOKUP($DH67,参照データ!$D$128:$J$145,5,FALSE)))</f>
        <v/>
      </c>
      <c r="DP67" s="525" t="str">
        <f t="shared" si="39"/>
        <v/>
      </c>
      <c r="DQ67" s="524" t="str">
        <f>IF($AT67="","",IF(AND($AT67="○",$BK67="男子"),VLOOKUP($DI67,参照データ!$D$128:$J$145,6,FALSE),VLOOKUP($DH67,参照データ!$D$128:$J$145,6,FALSE)))</f>
        <v/>
      </c>
      <c r="DR67" s="525" t="str">
        <f t="shared" si="40"/>
        <v/>
      </c>
      <c r="DS67" s="526" t="str">
        <f t="shared" si="41"/>
        <v/>
      </c>
      <c r="DT67" s="527" t="str">
        <f t="shared" si="42"/>
        <v/>
      </c>
      <c r="DU67" s="528" t="str">
        <f t="shared" si="43"/>
        <v/>
      </c>
      <c r="DV67" s="983"/>
      <c r="DW67" s="531" t="s">
        <v>141</v>
      </c>
      <c r="DX67" s="532" t="str">
        <f t="shared" si="92"/>
        <v/>
      </c>
      <c r="DY67" s="994"/>
      <c r="DZ67" s="692" t="str">
        <f>$DZ66</f>
        <v/>
      </c>
      <c r="EA67" s="526" t="str">
        <f t="shared" si="85"/>
        <v/>
      </c>
      <c r="EB67" s="527" t="str">
        <f t="shared" si="86"/>
        <v/>
      </c>
      <c r="EC67" s="528" t="str">
        <f t="shared" si="87"/>
        <v/>
      </c>
      <c r="ED67" s="983"/>
      <c r="EE67" s="531" t="s">
        <v>141</v>
      </c>
      <c r="EF67" s="531" t="str">
        <f t="shared" si="88"/>
        <v/>
      </c>
      <c r="EG67" s="532" t="str">
        <f>IF(SUM(EF66:EF67)&lt;24,"",IF(SUM(EF66:EF67)&gt;=36,3,2))</f>
        <v/>
      </c>
      <c r="EH67" s="994"/>
      <c r="EI67" s="527" t="str">
        <f>$EI66</f>
        <v/>
      </c>
      <c r="EJ67" s="555" t="str">
        <f t="shared" si="13"/>
        <v/>
      </c>
      <c r="EK67" s="556" t="str">
        <f t="shared" si="44"/>
        <v/>
      </c>
      <c r="EL67" s="846"/>
      <c r="EM67" s="561" t="s">
        <v>827</v>
      </c>
      <c r="EN67" s="562" t="str">
        <f t="shared" si="45"/>
        <v/>
      </c>
      <c r="EO67" s="849"/>
      <c r="EP67" s="555" t="str">
        <f t="shared" si="115"/>
        <v/>
      </c>
      <c r="EQ67" s="556" t="str">
        <f t="shared" si="46"/>
        <v/>
      </c>
      <c r="ER67" s="846"/>
      <c r="ES67" s="561" t="s">
        <v>827</v>
      </c>
      <c r="ET67" s="562" t="str">
        <f t="shared" si="47"/>
        <v/>
      </c>
      <c r="EU67" s="849"/>
      <c r="EV67" s="38" t="str">
        <f t="shared" si="116"/>
        <v/>
      </c>
      <c r="EW67" s="552" t="str">
        <f t="shared" si="48"/>
        <v/>
      </c>
      <c r="EX67" s="833"/>
      <c r="EY67" s="559" t="s">
        <v>847</v>
      </c>
      <c r="EZ67" s="560" t="str">
        <f t="shared" si="49"/>
        <v/>
      </c>
      <c r="FA67" s="835"/>
      <c r="FB67" t="str">
        <f>IF($FC67="","",DATEDIF($BJ67,参照データ!$D$19,"Y"))</f>
        <v/>
      </c>
      <c r="FC67" s="298" t="str">
        <f>IFERROR(IF($BK67="男子",VLOOKUP($FJ67,参照データ!$D$92:$E$118,2,0),$FJ67),0)</f>
        <v/>
      </c>
      <c r="FD67" s="92" t="str">
        <f>IF($Y67="選手権",(VLOOKUP($FC67,参照データ!$D$92:$K$121,3,0)),"")</f>
        <v/>
      </c>
      <c r="FE67" s="93" t="str">
        <f t="shared" si="117"/>
        <v/>
      </c>
      <c r="FF67" s="92" t="str">
        <f>IF($AA67="選手権",(VLOOKUP($FC67,参照データ!$D$92:$K$121,4,0)),"")</f>
        <v/>
      </c>
      <c r="FG67" s="93" t="str">
        <f t="shared" si="118"/>
        <v/>
      </c>
      <c r="FH67" s="92" t="str">
        <f>IF($AC67="選手権",(VLOOKUP($FC67,参照データ!$D$92:$K$121,5,0)),"")</f>
        <v/>
      </c>
      <c r="FI67" s="93" t="str">
        <f t="shared" si="119"/>
        <v/>
      </c>
      <c r="FJ67" s="61" t="str">
        <f>IF(AND($BJ67&gt;=参照データ!$C$94,$BJ67&lt;=参照データ!$C$92),1,IF(AND($BJ67&gt;=参照データ!$C$97,$BJ67&lt;=参照データ!$C$95),2,IF(AND($BJ67&gt;=参照データ!$C$103,$BJ67&lt;=参照データ!$C$101),3,IF(AND($BJ67&gt;=参照データ!$C$109,$BJ67&lt;=参照データ!$C$107),4,IF(AND($BJ67&gt;=参照データ!$C$115,$BJ67&lt;=参照データ!$C$113),5,IF(AND($BJ67&gt;0,$BJ67&lt;=参照データ!$C$116),6,""))))))</f>
        <v/>
      </c>
      <c r="FK67" s="92" t="str">
        <f>IF($AE67="選手権",(VLOOKUP($FJ67,参照データ!$D$92:$K$121,6,0)),"")</f>
        <v/>
      </c>
      <c r="FL67" s="93" t="str">
        <f t="shared" si="19"/>
        <v/>
      </c>
      <c r="FM67" s="92" t="str">
        <f>IF($AG67="選手権",(VLOOKUP($FJ67,参照データ!$D$92:$K$121,7,0)),"")</f>
        <v/>
      </c>
      <c r="FN67" s="93" t="str">
        <f t="shared" si="50"/>
        <v/>
      </c>
      <c r="FO67" s="38" t="str">
        <f t="shared" si="51"/>
        <v/>
      </c>
      <c r="FP67" s="37" t="str">
        <f t="shared" si="52"/>
        <v/>
      </c>
      <c r="FQ67" s="93" t="str">
        <f t="shared" si="53"/>
        <v/>
      </c>
      <c r="FR67" s="976"/>
      <c r="FS67" s="99" t="s">
        <v>141</v>
      </c>
      <c r="FT67" s="100" t="str">
        <f t="shared" si="120"/>
        <v/>
      </c>
      <c r="FU67" s="978"/>
      <c r="FV67" s="356" t="str">
        <f t="shared" ref="FV67:FV71" si="156">$FV66</f>
        <v/>
      </c>
      <c r="FY67" s="40">
        <f>(COUNTIF($J67:$O67,"&lt;&gt;"))*参照データ!$E$3</f>
        <v>0</v>
      </c>
      <c r="FZ67" s="267" t="str">
        <f>IF($P67="○",参照データ!$E$4,"")</f>
        <v/>
      </c>
      <c r="GA67" s="19">
        <f>(SUM(COUNTIF($Q67:$U67,{"入門","初級"}))*参照データ!$E$9)+(SUM(COUNTIF($Q67:$U67,{"中級","上級"})*参照データ!$E$10))</f>
        <v>0</v>
      </c>
      <c r="GB67" s="19">
        <f>IFERROR(VLOOKUP($V67,参照データ!$D$9:$J$11,7,0),0)</f>
        <v>0</v>
      </c>
      <c r="GC67" s="19">
        <f>((COUNTIF($Y67:$AG67,"オープン"))*参照データ!$E$12)</f>
        <v>0</v>
      </c>
      <c r="GD67" s="19" t="str">
        <f>(IF($AI67="オープン",参照データ!$J$12,""))</f>
        <v/>
      </c>
      <c r="GE67" s="19">
        <f>(COUNTIF($AN67:$AU67,"○")*参照データ!$E$22)</f>
        <v>0</v>
      </c>
      <c r="GF67" s="19">
        <f>(COUNTIF($AV67:$BA67,"○")*参照データ!$I$22)</f>
        <v>0</v>
      </c>
      <c r="GI67" s="19">
        <f>((COUNTIF($Y67:$AG67,"選手権"))*参照データ!$E$13)</f>
        <v>0</v>
      </c>
      <c r="GJ67" s="19" t="str">
        <f>(IF($AI67="選手権",参照データ!$J$13,""))</f>
        <v/>
      </c>
      <c r="GK67" s="106">
        <f t="array" ref="GK67">SUM(IF(ISERROR(FY67:GJ67),0,(FY67:GJ67)))</f>
        <v>0</v>
      </c>
      <c r="GL67" s="19"/>
      <c r="GM67" s="19">
        <f t="shared" si="54"/>
        <v>0</v>
      </c>
      <c r="GN67" s="19">
        <f t="shared" si="55"/>
        <v>0</v>
      </c>
      <c r="GO67" s="19">
        <f t="shared" si="56"/>
        <v>0</v>
      </c>
      <c r="GP67" s="19">
        <f t="shared" si="121"/>
        <v>0</v>
      </c>
      <c r="GQ67" s="19">
        <f t="shared" si="57"/>
        <v>0</v>
      </c>
      <c r="GR67" s="19">
        <f t="shared" si="58"/>
        <v>0</v>
      </c>
      <c r="GS67" s="19">
        <f t="shared" si="59"/>
        <v>0</v>
      </c>
      <c r="GT67" s="19">
        <f t="shared" si="60"/>
        <v>0</v>
      </c>
      <c r="GU67" s="19">
        <f t="shared" si="61"/>
        <v>0</v>
      </c>
      <c r="GV67" t="str">
        <f t="shared" si="122"/>
        <v/>
      </c>
      <c r="GW67" t="str">
        <f t="shared" si="62"/>
        <v/>
      </c>
      <c r="GX67" t="str">
        <f t="shared" si="123"/>
        <v/>
      </c>
      <c r="GY67" t="str">
        <f t="shared" si="63"/>
        <v/>
      </c>
      <c r="GZ67" t="str">
        <f t="shared" si="124"/>
        <v/>
      </c>
    </row>
    <row r="68" spans="1:208" ht="18.75" customHeight="1" x14ac:dyDescent="0.15">
      <c r="A68">
        <v>57</v>
      </c>
      <c r="B68" s="15" t="str">
        <f>IF(D68="","",IF(D68="重複","",COUNTIF(B$12:$B67,"&gt;0")+1))</f>
        <v/>
      </c>
      <c r="C68" s="713"/>
      <c r="D68" s="185"/>
      <c r="E68" s="185"/>
      <c r="F68" s="36"/>
      <c r="G68" s="47"/>
      <c r="H68" s="402">
        <f t="shared" si="112"/>
        <v>0</v>
      </c>
      <c r="I68" s="201" t="str">
        <f>IF($BJ68=0,"",DATEDIF($BJ68,参照データ!$D$16,"Y"))</f>
        <v/>
      </c>
      <c r="J68" s="41"/>
      <c r="K68" s="41"/>
      <c r="L68" s="41"/>
      <c r="M68" s="41"/>
      <c r="N68" s="41"/>
      <c r="O68" s="49"/>
      <c r="P68" s="395"/>
      <c r="Q68" s="51"/>
      <c r="R68" s="289"/>
      <c r="S68" s="289"/>
      <c r="T68" s="289"/>
      <c r="U68" s="290"/>
      <c r="V68" s="293"/>
      <c r="W68" s="295"/>
      <c r="Y68" s="446"/>
      <c r="Z68" s="396" t="str">
        <f>IF($Y68="オープン",VLOOKUP($CO68,参照データ!$D$69:$M$86,9,0),IF($Y68="選手権",VLOOKUP($FC68,参照データ!$D$92:$O$121,10,0),""))</f>
        <v/>
      </c>
      <c r="AA68" s="446"/>
      <c r="AB68" s="666" t="str">
        <f>IF($AA68="オープン",VLOOKUP($CO68,参照データ!$D$69:$M$86,10,0),IF($AA68="選手権",VLOOKUP($FC68,参照データ!$D$92:$O$121,11,0),""))</f>
        <v/>
      </c>
      <c r="AC68" s="669"/>
      <c r="AD68" s="396" t="str">
        <f>IF($AC68="オープン",VLOOKUP($CO68,参照データ!$D$69:$M$86,10,0),IF($AC68="選手権",VLOOKUP($FC68,参照データ!$D$92:$O$121,11,0),""))</f>
        <v/>
      </c>
      <c r="AE68" s="446"/>
      <c r="AF68" s="396" t="str">
        <f>IF($AE68="オープン",VLOOKUP($CO68,参照データ!$D$69:$M$86,10,0),IF($AE68="選手権",VLOOKUP($FJ68,参照データ!$D$92:$O$121,12,0),""))</f>
        <v/>
      </c>
      <c r="AG68" s="446"/>
      <c r="AH68" s="396" t="str">
        <f>IF($AG68="オープン",VLOOKUP($CO68,参照データ!$D$69:$M$86,10,0),IF($AG68="選手権",VLOOKUP($FJ68,参照データ!$D$92:$O$121,12,0),""))</f>
        <v/>
      </c>
      <c r="AI68" s="446"/>
      <c r="AJ68" s="449"/>
      <c r="AK68" s="396" t="str">
        <f t="shared" si="113"/>
        <v/>
      </c>
      <c r="AL68" s="587"/>
      <c r="AM68" s="588" t="str">
        <f>IF($BJ68=0,"",DATEDIF($BJ68,参照データ!$D$17,"Y"))</f>
        <v/>
      </c>
      <c r="AN68" s="450"/>
      <c r="AO68" s="591" t="str">
        <f>IF(AN68="","",IF($BK68="男子",VLOOKUP($DI68,参照データ!$D$128:$M$145,10,FALSE),VLOOKUP($DH68,参照データ!$D$128:$M$145,10,FALSE)))</f>
        <v/>
      </c>
      <c r="AP68" s="450"/>
      <c r="AQ68" s="591" t="str">
        <f>IF(AP68="","",IF($BK68="男子",VLOOKUP($DI68,参照データ!$D$128:$M$145,10,FALSE),VLOOKUP($DH68,参照データ!$D$128:$M$145,10,FALSE)))</f>
        <v/>
      </c>
      <c r="AR68" s="450"/>
      <c r="AS68" s="591" t="str">
        <f>IF(AR68="","",IF($BK68="男子",VLOOKUP($DI68,参照データ!$D$128:$M$145,10,FALSE),VLOOKUP($DH68,参照データ!$D$128:$M$145,10,FALSE)))</f>
        <v/>
      </c>
      <c r="AT68" s="450"/>
      <c r="AU68" s="591" t="str">
        <f>IF(AT68="","",IF($BK68="男子",VLOOKUP($DI68,参照データ!$D$128:$M$145,10,FALSE),VLOOKUP($DH68,参照データ!$D$128:$M$145,10,FALSE)))</f>
        <v/>
      </c>
      <c r="AV68" s="448"/>
      <c r="AW68" s="448"/>
      <c r="AX68" s="585" t="str">
        <f t="shared" si="25"/>
        <v/>
      </c>
      <c r="AY68" s="448"/>
      <c r="AZ68" s="448"/>
      <c r="BA68" s="585" t="str">
        <f t="shared" si="83"/>
        <v/>
      </c>
      <c r="BB68" s="677"/>
      <c r="BC68" s="724"/>
      <c r="BD68" s="640"/>
      <c r="BE68" s="482"/>
      <c r="BF68" s="365"/>
      <c r="BG68" s="366"/>
      <c r="BJ68">
        <f t="shared" si="75"/>
        <v>0</v>
      </c>
      <c r="BK68" t="str">
        <f t="shared" si="65"/>
        <v/>
      </c>
      <c r="BL68" s="146"/>
      <c r="BO68" s="61" t="str">
        <f>IF($BJ68=0,"",IF(AND($I68&gt;=6,$I68&lt;=19),VLOOKUP($I68,参照データ!$B$28:$C$41,2,0),IF($I68&lt;6,6,19)))</f>
        <v/>
      </c>
      <c r="BP68" s="178" t="str">
        <f>IF($J68=$BI$12,VLOOKUP($BO68,参照データ!$C$28:$I$41,2,0),"")</f>
        <v/>
      </c>
      <c r="BQ68" s="169" t="str">
        <f>IF($K68=$BI$12,VLOOKUP($BO68,参照データ!$C$28:$I$41,3,0),"")</f>
        <v/>
      </c>
      <c r="BR68" s="169" t="str">
        <f>IF($L68=$BI$12,VLOOKUP($BO68,参照データ!$C$28:$I$41,4,0),"")</f>
        <v/>
      </c>
      <c r="BS68" s="169" t="str">
        <f>IF($M68=$BI$12,VLOOKUP($BO68,参照データ!$C$28:$I$41,5,0),"")</f>
        <v/>
      </c>
      <c r="BT68" s="169" t="str">
        <f>IF($N68=$BI$12,VLOOKUP($BO68,参照データ!$C$28:$I$41,6,0),"")</f>
        <v/>
      </c>
      <c r="BU68" s="179" t="str">
        <f>IF($O68=$BI$12,VLOOKUP($BO68,参照データ!$C$28:$I$41,7,0),"")</f>
        <v/>
      </c>
      <c r="BV68" s="178" t="str">
        <f>IF($J68=$BI$13,VLOOKUP($BO68,参照データ!$C$28:$I$41,2,0),"")</f>
        <v/>
      </c>
      <c r="BW68" s="169" t="str">
        <f>IF($K68=$BI$13,VLOOKUP($BO68,参照データ!$C$28:$I$41,3,0),"")</f>
        <v/>
      </c>
      <c r="BX68" s="169" t="str">
        <f>IF($L68=$BI$13,VLOOKUP($BO68,参照データ!$C$28:$I$41,4,0),"")</f>
        <v/>
      </c>
      <c r="BY68" s="169" t="str">
        <f>IF($M68=$BI$13,VLOOKUP($BO68,参照データ!$C$28:$I$41,5,0),"")</f>
        <v/>
      </c>
      <c r="BZ68" s="169" t="str">
        <f>IF($N68=$BI$13,VLOOKUP($BO68,参照データ!$C$28:$I$41,6,0),"")</f>
        <v/>
      </c>
      <c r="CA68" s="179" t="str">
        <f>IF($O68=$BI$13,VLOOKUP($BO68,参照データ!$C$28:$I$41,7,0),"")</f>
        <v/>
      </c>
      <c r="CB68" s="271" t="str">
        <f t="shared" si="26"/>
        <v/>
      </c>
      <c r="CC68" s="177" t="str">
        <f>IF($Q68="入門",VLOOKUP($BO68,参照データ!$C$47:$U$60,2,0),IF($Q68="初級",VLOOKUP($BO68,参照データ!$C$47:$U$60,3,0),IF($Q68="中級",VLOOKUP($BO68,参照データ!$C$47:$U$60,4,0),IF($Q68="上級",VLOOKUP($BO68,参照データ!$C$47:$U$60,5,0),""))))</f>
        <v/>
      </c>
      <c r="CD68" s="177" t="str">
        <f>IF($R68="初級",VLOOKUP($BO68,参照データ!$C$47:$U$60,6,0),IF($R68="中級",VLOOKUP($BO68,参照データ!$C$47:$U$60,7,0),IF($R68="上級",VLOOKUP($BO68,参照データ!$C$47:$U$60,8,0),"")))</f>
        <v/>
      </c>
      <c r="CE68" s="177" t="str">
        <f>IF($S68="初級",VLOOKUP($BO68,参照データ!$C$47:$U$60,9,0),IF($S68="上級",VLOOKUP($BO68,参照データ!$C$47:$U$60,10,0),""))</f>
        <v/>
      </c>
      <c r="CF68" s="177" t="str">
        <f>IF($T68="初級",VLOOKUP($BO68,参照データ!$C$47:$U$60,11,0),IF($T68="中級",VLOOKUP($BO68,参照データ!$C$47:$U$60,12,0),IF($T68="上級",VLOOKUP($BO68,参照データ!$C$47:$U$60,13,0),"")))</f>
        <v/>
      </c>
      <c r="CG68" s="177" t="str">
        <f>IF($U68="初級",VLOOKUP($BO68,参照データ!$C$47:$U$60,14,0),IF($U68="中級",VLOOKUP($BO68,参照データ!$C$47:$U$60,15,0),IF($U68="上級",VLOOKUP($BO68,参照データ!$C$47:$U$60,16,0),"")))</f>
        <v/>
      </c>
      <c r="CH68" s="55" t="str">
        <f t="shared" si="5"/>
        <v/>
      </c>
      <c r="CI68" s="55" t="str">
        <f>IF($V68="初級",VLOOKUP($BO68,参照データ!$C$47:$U$60,17,0),IF($V68="中級",VLOOKUP($BO68,参照データ!$C$47:$U$60,18,0),IF($V68="上級",VLOOKUP($BO68,参照データ!$C$47:$U$60,19,0),"")))</f>
        <v/>
      </c>
      <c r="CJ68" s="867">
        <v>29</v>
      </c>
      <c r="CK68" s="74" t="s">
        <v>292</v>
      </c>
      <c r="CL68" s="151" t="str">
        <f t="shared" si="6"/>
        <v/>
      </c>
      <c r="CM68" s="871" t="str">
        <f t="shared" ref="CM68" si="157">IF(OR($CL68="",$CL69=""),"",IF($CL68&gt;$CL69,$CL68,$CL69))</f>
        <v/>
      </c>
      <c r="CO68" s="61">
        <f>IF(AND($BJ68&gt;=参照データ!$C$71,$BJ68&lt;=参照データ!$C$69),1,IF(AND($BJ68&gt;=参照データ!$C$74,$BJ68&lt;=参照データ!$C$72),2,IF(AND($BJ68&gt;=参照データ!$C$77,$BJ68&lt;=参照データ!$C$75),3,IF(AND($BJ68&gt;=参照データ!$C$80,$BJ68&lt;=参照データ!$C$78),4,IF(AND($BJ68&gt;=参照データ!$C$83,$BJ68&lt;=参照データ!$C$81),5,IF(AND($BJ68&gt;0,$BJ68&lt;=参照データ!$C$84),6,""))))))</f>
        <v>5</v>
      </c>
      <c r="CP68" s="160" t="str">
        <f>IF($Y68="オープン",(VLOOKUP($CO68,参照データ!$D$69:$J$86,2,0)),"")</f>
        <v/>
      </c>
      <c r="CQ68" s="79" t="str">
        <f t="shared" si="27"/>
        <v/>
      </c>
      <c r="CR68" s="78" t="str">
        <f>IF($AA68="オープン",(VLOOKUP($CO68,参照データ!$D$69:$J$86,3,0)),"")</f>
        <v/>
      </c>
      <c r="CS68" s="79" t="str">
        <f t="shared" si="28"/>
        <v/>
      </c>
      <c r="CT68" s="78" t="str">
        <f>IF($AC68="オープン",(VLOOKUP($CO68,参照データ!$D$69:$J$86,4,0)),"")</f>
        <v/>
      </c>
      <c r="CU68" s="79" t="str">
        <f t="shared" si="29"/>
        <v/>
      </c>
      <c r="CV68" s="78" t="str">
        <f>IF($AE68="オープン",(VLOOKUP($CO68,参照データ!$D$69:$J$86,5,0)),"")</f>
        <v/>
      </c>
      <c r="CW68" s="79" t="str">
        <f t="shared" si="7"/>
        <v/>
      </c>
      <c r="CX68" s="78" t="str">
        <f>IF($AG68="オープン",(VLOOKUP($CO68,参照データ!$D$69:$J$86,6,0)),"")</f>
        <v/>
      </c>
      <c r="CY68" s="79" t="str">
        <f t="shared" si="30"/>
        <v/>
      </c>
      <c r="CZ68" s="38" t="str">
        <f t="shared" si="31"/>
        <v/>
      </c>
      <c r="DA68" s="37" t="str">
        <f t="shared" si="32"/>
        <v/>
      </c>
      <c r="DB68" s="79" t="str">
        <f t="shared" si="33"/>
        <v/>
      </c>
      <c r="DC68" s="857">
        <v>29</v>
      </c>
      <c r="DD68" s="87" t="s">
        <v>142</v>
      </c>
      <c r="DE68" s="88" t="str">
        <f t="shared" si="34"/>
        <v/>
      </c>
      <c r="DF68" s="859" t="e">
        <f>IF($DE68&gt;$DE69,VLOOKUP($DE68,参照データ!$D$69:$J$86,7,0),VLOOKUP($DE69,参照データ!$D$69:$J$86,7,0))</f>
        <v>#N/A</v>
      </c>
      <c r="DG68" s="350" t="str">
        <f>IFERROR(VLOOKUP($DF68,参照データ!$J$69:$M$86,4,0),"")</f>
        <v/>
      </c>
      <c r="DH68" s="523">
        <f>IF(AND($BJ68&gt;=参照データ!$C$130,$BJ68&lt;=参照データ!$C$128),1,IF(AND($BJ68&gt;=参照データ!$C$133,$BJ68&lt;=参照データ!$C$131),2,IF(AND($BJ68&gt;=参照データ!$C$139,$BJ68&lt;=参照データ!$C$137),3,IF(AND($BJ68&gt;0,$BJ68&lt;=参照データ!$C$140),4,""))))</f>
        <v>1</v>
      </c>
      <c r="DI68" s="523">
        <f t="shared" si="35"/>
        <v>7</v>
      </c>
      <c r="DJ68" s="523" t="str">
        <f t="shared" si="36"/>
        <v/>
      </c>
      <c r="DK68" s="524" t="str">
        <f>IF($AN68="","",IF(AND($AN68="○",$BK68="男子"),VLOOKUP($DI68,参照データ!$D$128:$J$145,3,FALSE),VLOOKUP($DH68,参照データ!$D$128:$J$145,3,FALSE)))</f>
        <v/>
      </c>
      <c r="DL68" s="525" t="str">
        <f t="shared" si="37"/>
        <v/>
      </c>
      <c r="DM68" s="524" t="str">
        <f>IF($AP68="","",IF(AND($AP68="○",$BK68="男子"),VLOOKUP($DI68,参照データ!$D$128:$J$145,4,FALSE),VLOOKUP($DH68,参照データ!$D$128:$J$145,4,FALSE)))</f>
        <v/>
      </c>
      <c r="DN68" s="525" t="str">
        <f t="shared" si="38"/>
        <v/>
      </c>
      <c r="DO68" s="524" t="str">
        <f>IF($AR68="","",IF(AND($AR68="○",$BK68="男子"),VLOOKUP($DI68,参照データ!$D$128:$J$145,5,FALSE),VLOOKUP($DH68,参照データ!$D$128:$J$145,5,FALSE)))</f>
        <v/>
      </c>
      <c r="DP68" s="525" t="str">
        <f t="shared" si="39"/>
        <v/>
      </c>
      <c r="DQ68" s="524" t="str">
        <f>IF($AT68="","",IF(AND($AT68="○",$BK68="男子"),VLOOKUP($DI68,参照データ!$D$128:$J$145,6,FALSE),VLOOKUP($DH68,参照データ!$D$128:$J$145,6,FALSE)))</f>
        <v/>
      </c>
      <c r="DR68" s="525" t="str">
        <f t="shared" si="40"/>
        <v/>
      </c>
      <c r="DS68" s="526" t="str">
        <f t="shared" si="41"/>
        <v/>
      </c>
      <c r="DT68" s="527" t="str">
        <f t="shared" si="42"/>
        <v/>
      </c>
      <c r="DU68" s="528" t="str">
        <f t="shared" si="43"/>
        <v/>
      </c>
      <c r="DV68" s="982">
        <v>29</v>
      </c>
      <c r="DW68" s="533" t="s">
        <v>142</v>
      </c>
      <c r="DX68" s="534" t="str">
        <f t="shared" si="92"/>
        <v/>
      </c>
      <c r="DY68" s="877" t="e">
        <f>IF($DX68&gt;$DX69,VLOOKUP($DX68,参照データ!$D$128:$K$145,7,0),VLOOKUP($DX69,参照データ!$D$128:$K$145,7,0))</f>
        <v>#N/A</v>
      </c>
      <c r="DZ68" s="692" t="str">
        <f>IFERROR(VLOOKUP($DY68,参照データ!$J$128:$N$145,5,0),"")</f>
        <v/>
      </c>
      <c r="EA68" s="526" t="str">
        <f t="shared" si="85"/>
        <v/>
      </c>
      <c r="EB68" s="527" t="str">
        <f t="shared" si="86"/>
        <v/>
      </c>
      <c r="EC68" s="528" t="str">
        <f t="shared" si="87"/>
        <v/>
      </c>
      <c r="ED68" s="982">
        <v>29</v>
      </c>
      <c r="EE68" s="533" t="s">
        <v>142</v>
      </c>
      <c r="EF68" s="533" t="str">
        <f t="shared" si="88"/>
        <v/>
      </c>
      <c r="EG68" s="534" t="str">
        <f>IF(SUM(EF68:EF69)&lt;24,"",IF(SUM(EF68:EF69)&gt;=36,3,2))</f>
        <v/>
      </c>
      <c r="EH68" s="877" t="e">
        <f>IF($EG68&gt;$EG69,VLOOKUP($EG68,参照データ!$D$128:$K$145,8,0),VLOOKUP($EG69,参照データ!$D$128:$K$145,8,0))</f>
        <v>#N/A</v>
      </c>
      <c r="EI68" s="527" t="str">
        <f>IFERROR(VLOOKUP($EH68,参照データ!$K$128:$N$145,4,0),"")</f>
        <v/>
      </c>
      <c r="EJ68" s="555" t="str">
        <f t="shared" si="13"/>
        <v/>
      </c>
      <c r="EK68" s="556" t="str">
        <f t="shared" si="44"/>
        <v/>
      </c>
      <c r="EL68" s="846"/>
      <c r="EM68" s="561" t="s">
        <v>828</v>
      </c>
      <c r="EN68" s="562" t="str">
        <f t="shared" si="45"/>
        <v/>
      </c>
      <c r="EO68" s="849"/>
      <c r="EP68" s="555" t="str">
        <f t="shared" si="115"/>
        <v/>
      </c>
      <c r="EQ68" s="556" t="str">
        <f t="shared" si="46"/>
        <v/>
      </c>
      <c r="ER68" s="846"/>
      <c r="ES68" s="561" t="s">
        <v>828</v>
      </c>
      <c r="ET68" s="562" t="str">
        <f t="shared" si="47"/>
        <v/>
      </c>
      <c r="EU68" s="849"/>
      <c r="EV68" s="38" t="str">
        <f t="shared" si="116"/>
        <v/>
      </c>
      <c r="EW68" s="552" t="str">
        <f t="shared" si="48"/>
        <v/>
      </c>
      <c r="EX68" s="833"/>
      <c r="EY68" s="559" t="s">
        <v>848</v>
      </c>
      <c r="EZ68" s="560" t="str">
        <f t="shared" si="49"/>
        <v/>
      </c>
      <c r="FA68" s="835"/>
      <c r="FB68" t="str">
        <f>IF($FC68="","",DATEDIF($BJ68,参照データ!$D$19,"Y"))</f>
        <v/>
      </c>
      <c r="FC68" s="298" t="str">
        <f>IFERROR(IF($BK68="男子",VLOOKUP($FJ68,参照データ!$D$92:$E$118,2,0),$FJ68),0)</f>
        <v/>
      </c>
      <c r="FD68" s="92" t="str">
        <f>IF($Y68="選手権",(VLOOKUP($FC68,参照データ!$D$92:$K$121,3,0)),"")</f>
        <v/>
      </c>
      <c r="FE68" s="93" t="str">
        <f t="shared" si="117"/>
        <v/>
      </c>
      <c r="FF68" s="92" t="str">
        <f>IF($AA68="選手権",(VLOOKUP($FC68,参照データ!$D$92:$K$121,4,0)),"")</f>
        <v/>
      </c>
      <c r="FG68" s="93" t="str">
        <f t="shared" si="118"/>
        <v/>
      </c>
      <c r="FH68" s="92" t="str">
        <f>IF($AC68="選手権",(VLOOKUP($FC68,参照データ!$D$92:$K$121,5,0)),"")</f>
        <v/>
      </c>
      <c r="FI68" s="93" t="str">
        <f t="shared" si="119"/>
        <v/>
      </c>
      <c r="FJ68" s="61" t="str">
        <f>IF(AND($BJ68&gt;=参照データ!$C$94,$BJ68&lt;=参照データ!$C$92),1,IF(AND($BJ68&gt;=参照データ!$C$97,$BJ68&lt;=参照データ!$C$95),2,IF(AND($BJ68&gt;=参照データ!$C$103,$BJ68&lt;=参照データ!$C$101),3,IF(AND($BJ68&gt;=参照データ!$C$109,$BJ68&lt;=参照データ!$C$107),4,IF(AND($BJ68&gt;=参照データ!$C$115,$BJ68&lt;=参照データ!$C$113),5,IF(AND($BJ68&gt;0,$BJ68&lt;=参照データ!$C$116),6,""))))))</f>
        <v/>
      </c>
      <c r="FK68" s="92" t="str">
        <f>IF($AE68="選手権",(VLOOKUP($FJ68,参照データ!$D$92:$K$121,6,0)),"")</f>
        <v/>
      </c>
      <c r="FL68" s="93" t="str">
        <f t="shared" si="19"/>
        <v/>
      </c>
      <c r="FM68" s="92" t="str">
        <f>IF($AG68="選手権",(VLOOKUP($FJ68,参照データ!$D$92:$K$121,7,0)),"")</f>
        <v/>
      </c>
      <c r="FN68" s="93" t="str">
        <f t="shared" si="50"/>
        <v/>
      </c>
      <c r="FO68" s="38" t="str">
        <f t="shared" si="51"/>
        <v/>
      </c>
      <c r="FP68" s="37" t="str">
        <f t="shared" si="52"/>
        <v/>
      </c>
      <c r="FQ68" s="93" t="str">
        <f t="shared" si="53"/>
        <v/>
      </c>
      <c r="FR68" s="979">
        <v>29</v>
      </c>
      <c r="FS68" s="101" t="s">
        <v>142</v>
      </c>
      <c r="FT68" s="102" t="str">
        <f t="shared" si="120"/>
        <v/>
      </c>
      <c r="FU68" s="980" t="e">
        <f>IF($FT68&gt;$FT69,VLOOKUP($FT68,参照データ!$D$92:$K$121,8,0),VLOOKUP($FT69,参照データ!$D$92:$K$121,8,0))</f>
        <v>#N/A</v>
      </c>
      <c r="FV68" s="356" t="str">
        <f>IFERROR(VLOOKUP($FU68,参照データ!$K$92:$O$121,5,0),"")</f>
        <v/>
      </c>
      <c r="FY68" s="40">
        <f>(COUNTIF($J68:$O68,"&lt;&gt;"))*参照データ!$E$3</f>
        <v>0</v>
      </c>
      <c r="FZ68" s="267" t="str">
        <f>IF($P68="○",参照データ!$E$4,"")</f>
        <v/>
      </c>
      <c r="GA68" s="19">
        <f>(SUM(COUNTIF($Q68:$U68,{"入門","初級"}))*参照データ!$E$9)+(SUM(COUNTIF($Q68:$U68,{"中級","上級"})*参照データ!$E$10))</f>
        <v>0</v>
      </c>
      <c r="GB68" s="19">
        <f>IFERROR(VLOOKUP($V68,参照データ!$D$9:$J$11,7,0),0)</f>
        <v>0</v>
      </c>
      <c r="GC68" s="19">
        <f>((COUNTIF($Y68:$AG68,"オープン"))*参照データ!$E$12)</f>
        <v>0</v>
      </c>
      <c r="GD68" s="19" t="str">
        <f>(IF($AI68="オープン",参照データ!$J$12,""))</f>
        <v/>
      </c>
      <c r="GE68" s="19">
        <f>(COUNTIF($AN68:$AU68,"○")*参照データ!$E$22)</f>
        <v>0</v>
      </c>
      <c r="GF68" s="19">
        <f>(COUNTIF($AV68:$BA68,"○")*参照データ!$I$22)</f>
        <v>0</v>
      </c>
      <c r="GI68" s="19">
        <f>((COUNTIF($Y68:$AG68,"選手権"))*参照データ!$E$13)</f>
        <v>0</v>
      </c>
      <c r="GJ68" s="19" t="str">
        <f>(IF($AI68="選手権",参照データ!$J$13,""))</f>
        <v/>
      </c>
      <c r="GK68" s="106">
        <f t="array" ref="GK68">SUM(IF(ISERROR(FY68:GJ68),0,(FY68:GJ68)))</f>
        <v>0</v>
      </c>
      <c r="GL68" s="19"/>
      <c r="GM68" s="19">
        <f t="shared" si="54"/>
        <v>0</v>
      </c>
      <c r="GN68" s="19">
        <f t="shared" si="55"/>
        <v>0</v>
      </c>
      <c r="GO68" s="19">
        <f t="shared" si="56"/>
        <v>0</v>
      </c>
      <c r="GP68" s="19">
        <f t="shared" si="121"/>
        <v>0</v>
      </c>
      <c r="GQ68" s="19">
        <f t="shared" si="57"/>
        <v>0</v>
      </c>
      <c r="GR68" s="19">
        <f t="shared" si="58"/>
        <v>0</v>
      </c>
      <c r="GS68" s="19">
        <f t="shared" si="59"/>
        <v>0</v>
      </c>
      <c r="GT68" s="19">
        <f t="shared" si="60"/>
        <v>0</v>
      </c>
      <c r="GU68" s="19">
        <f t="shared" si="61"/>
        <v>0</v>
      </c>
      <c r="GV68" t="str">
        <f t="shared" si="122"/>
        <v/>
      </c>
      <c r="GW68" t="str">
        <f t="shared" si="62"/>
        <v/>
      </c>
      <c r="GX68" t="str">
        <f t="shared" si="123"/>
        <v/>
      </c>
      <c r="GY68" t="str">
        <f t="shared" si="63"/>
        <v/>
      </c>
      <c r="GZ68" t="str">
        <f t="shared" si="124"/>
        <v/>
      </c>
    </row>
    <row r="69" spans="1:208" ht="18.75" customHeight="1" x14ac:dyDescent="0.15">
      <c r="A69">
        <v>58</v>
      </c>
      <c r="B69" s="15" t="str">
        <f>IF(D69="","",IF(D69="重複","",COUNTIF(B$12:$B68,"&gt;0")+1))</f>
        <v/>
      </c>
      <c r="C69" s="713"/>
      <c r="D69" s="185"/>
      <c r="E69" s="185"/>
      <c r="F69" s="36"/>
      <c r="G69" s="47"/>
      <c r="H69" s="402">
        <f t="shared" si="112"/>
        <v>0</v>
      </c>
      <c r="I69" s="201" t="str">
        <f>IF($BJ69=0,"",DATEDIF($BJ69,参照データ!$D$16,"Y"))</f>
        <v/>
      </c>
      <c r="J69" s="41"/>
      <c r="K69" s="41"/>
      <c r="L69" s="41"/>
      <c r="M69" s="41"/>
      <c r="N69" s="41"/>
      <c r="O69" s="49"/>
      <c r="P69" s="395"/>
      <c r="Q69" s="51"/>
      <c r="R69" s="289"/>
      <c r="S69" s="289"/>
      <c r="T69" s="289"/>
      <c r="U69" s="290"/>
      <c r="V69" s="293"/>
      <c r="W69" s="295"/>
      <c r="Y69" s="446"/>
      <c r="Z69" s="396" t="str">
        <f>IF($Y69="オープン",VLOOKUP($CO69,参照データ!$D$69:$M$86,9,0),IF($Y69="選手権",VLOOKUP($FC69,参照データ!$D$92:$O$121,10,0),""))</f>
        <v/>
      </c>
      <c r="AA69" s="446"/>
      <c r="AB69" s="666" t="str">
        <f>IF($AA69="オープン",VLOOKUP($CO69,参照データ!$D$69:$M$86,10,0),IF($AA69="選手権",VLOOKUP($FC69,参照データ!$D$92:$O$121,11,0),""))</f>
        <v/>
      </c>
      <c r="AC69" s="669"/>
      <c r="AD69" s="396" t="str">
        <f>IF($AC69="オープン",VLOOKUP($CO69,参照データ!$D$69:$M$86,10,0),IF($AC69="選手権",VLOOKUP($FC69,参照データ!$D$92:$O$121,11,0),""))</f>
        <v/>
      </c>
      <c r="AE69" s="446"/>
      <c r="AF69" s="396" t="str">
        <f>IF($AE69="オープン",VLOOKUP($CO69,参照データ!$D$69:$M$86,10,0),IF($AE69="選手権",VLOOKUP($FJ69,参照データ!$D$92:$O$121,12,0),""))</f>
        <v/>
      </c>
      <c r="AG69" s="446"/>
      <c r="AH69" s="396" t="str">
        <f>IF($AG69="オープン",VLOOKUP($CO69,参照データ!$D$69:$M$86,10,0),IF($AG69="選手権",VLOOKUP($FJ69,参照データ!$D$92:$O$121,12,0),""))</f>
        <v/>
      </c>
      <c r="AI69" s="446"/>
      <c r="AJ69" s="449"/>
      <c r="AK69" s="396" t="str">
        <f t="shared" si="113"/>
        <v/>
      </c>
      <c r="AL69" s="587"/>
      <c r="AM69" s="588" t="str">
        <f>IF($BJ69=0,"",DATEDIF($BJ69,参照データ!$D$17,"Y"))</f>
        <v/>
      </c>
      <c r="AN69" s="450"/>
      <c r="AO69" s="591" t="str">
        <f>IF(AN69="","",IF($BK69="男子",VLOOKUP($DI69,参照データ!$D$128:$M$145,10,FALSE),VLOOKUP($DH69,参照データ!$D$128:$M$145,10,FALSE)))</f>
        <v/>
      </c>
      <c r="AP69" s="450"/>
      <c r="AQ69" s="591" t="str">
        <f>IF(AP69="","",IF($BK69="男子",VLOOKUP($DI69,参照データ!$D$128:$M$145,10,FALSE),VLOOKUP($DH69,参照データ!$D$128:$M$145,10,FALSE)))</f>
        <v/>
      </c>
      <c r="AR69" s="450"/>
      <c r="AS69" s="591" t="str">
        <f>IF(AR69="","",IF($BK69="男子",VLOOKUP($DI69,参照データ!$D$128:$M$145,10,FALSE),VLOOKUP($DH69,参照データ!$D$128:$M$145,10,FALSE)))</f>
        <v/>
      </c>
      <c r="AT69" s="450"/>
      <c r="AU69" s="591" t="str">
        <f>IF(AT69="","",IF($BK69="男子",VLOOKUP($DI69,参照データ!$D$128:$M$145,10,FALSE),VLOOKUP($DH69,参照データ!$D$128:$M$145,10,FALSE)))</f>
        <v/>
      </c>
      <c r="AV69" s="448"/>
      <c r="AW69" s="448"/>
      <c r="AX69" s="585" t="str">
        <f t="shared" si="25"/>
        <v/>
      </c>
      <c r="AY69" s="448"/>
      <c r="AZ69" s="448"/>
      <c r="BA69" s="585" t="str">
        <f t="shared" si="83"/>
        <v/>
      </c>
      <c r="BB69" s="677"/>
      <c r="BC69" s="724"/>
      <c r="BD69" s="640"/>
      <c r="BE69" s="482"/>
      <c r="BF69" s="365"/>
      <c r="BG69" s="366"/>
      <c r="BJ69">
        <f t="shared" si="75"/>
        <v>0</v>
      </c>
      <c r="BK69" t="str">
        <f t="shared" si="65"/>
        <v/>
      </c>
      <c r="BL69" s="146"/>
      <c r="BO69" s="61" t="str">
        <f>IF($BJ69=0,"",IF(AND($I69&gt;=6,$I69&lt;=19),VLOOKUP($I69,参照データ!$B$28:$C$41,2,0),IF($I69&lt;6,6,19)))</f>
        <v/>
      </c>
      <c r="BP69" s="178" t="str">
        <f>IF($J69=$BI$12,VLOOKUP($BO69,参照データ!$C$28:$I$41,2,0),"")</f>
        <v/>
      </c>
      <c r="BQ69" s="169" t="str">
        <f>IF($K69=$BI$12,VLOOKUP($BO69,参照データ!$C$28:$I$41,3,0),"")</f>
        <v/>
      </c>
      <c r="BR69" s="169" t="str">
        <f>IF($L69=$BI$12,VLOOKUP($BO69,参照データ!$C$28:$I$41,4,0),"")</f>
        <v/>
      </c>
      <c r="BS69" s="169" t="str">
        <f>IF($M69=$BI$12,VLOOKUP($BO69,参照データ!$C$28:$I$41,5,0),"")</f>
        <v/>
      </c>
      <c r="BT69" s="169" t="str">
        <f>IF($N69=$BI$12,VLOOKUP($BO69,参照データ!$C$28:$I$41,6,0),"")</f>
        <v/>
      </c>
      <c r="BU69" s="179" t="str">
        <f>IF($O69=$BI$12,VLOOKUP($BO69,参照データ!$C$28:$I$41,7,0),"")</f>
        <v/>
      </c>
      <c r="BV69" s="178" t="str">
        <f>IF($J69=$BI$13,VLOOKUP($BO69,参照データ!$C$28:$I$41,2,0),"")</f>
        <v/>
      </c>
      <c r="BW69" s="169" t="str">
        <f>IF($K69=$BI$13,VLOOKUP($BO69,参照データ!$C$28:$I$41,3,0),"")</f>
        <v/>
      </c>
      <c r="BX69" s="169" t="str">
        <f>IF($L69=$BI$13,VLOOKUP($BO69,参照データ!$C$28:$I$41,4,0),"")</f>
        <v/>
      </c>
      <c r="BY69" s="169" t="str">
        <f>IF($M69=$BI$13,VLOOKUP($BO69,参照データ!$C$28:$I$41,5,0),"")</f>
        <v/>
      </c>
      <c r="BZ69" s="169" t="str">
        <f>IF($N69=$BI$13,VLOOKUP($BO69,参照データ!$C$28:$I$41,6,0),"")</f>
        <v/>
      </c>
      <c r="CA69" s="179" t="str">
        <f>IF($O69=$BI$13,VLOOKUP($BO69,参照データ!$C$28:$I$41,7,0),"")</f>
        <v/>
      </c>
      <c r="CB69" s="271" t="str">
        <f t="shared" si="26"/>
        <v/>
      </c>
      <c r="CC69" s="177" t="str">
        <f>IF($Q69="入門",VLOOKUP($BO69,参照データ!$C$47:$U$60,2,0),IF($Q69="初級",VLOOKUP($BO69,参照データ!$C$47:$U$60,3,0),IF($Q69="中級",VLOOKUP($BO69,参照データ!$C$47:$U$60,4,0),IF($Q69="上級",VLOOKUP($BO69,参照データ!$C$47:$U$60,5,0),""))))</f>
        <v/>
      </c>
      <c r="CD69" s="177" t="str">
        <f>IF($R69="初級",VLOOKUP($BO69,参照データ!$C$47:$U$60,6,0),IF($R69="中級",VLOOKUP($BO69,参照データ!$C$47:$U$60,7,0),IF($R69="上級",VLOOKUP($BO69,参照データ!$C$47:$U$60,8,0),"")))</f>
        <v/>
      </c>
      <c r="CE69" s="177" t="str">
        <f>IF($S69="初級",VLOOKUP($BO69,参照データ!$C$47:$U$60,9,0),IF($S69="上級",VLOOKUP($BO69,参照データ!$C$47:$U$60,10,0),""))</f>
        <v/>
      </c>
      <c r="CF69" s="177" t="str">
        <f>IF($T69="初級",VLOOKUP($BO69,参照データ!$C$47:$U$60,11,0),IF($T69="中級",VLOOKUP($BO69,参照データ!$C$47:$U$60,12,0),IF($T69="上級",VLOOKUP($BO69,参照データ!$C$47:$U$60,13,0),"")))</f>
        <v/>
      </c>
      <c r="CG69" s="177" t="str">
        <f>IF($U69="初級",VLOOKUP($BO69,参照データ!$C$47:$U$60,14,0),IF($U69="中級",VLOOKUP($BO69,参照データ!$C$47:$U$60,15,0),IF($U69="上級",VLOOKUP($BO69,参照データ!$C$47:$U$60,16,0),"")))</f>
        <v/>
      </c>
      <c r="CH69" s="55" t="str">
        <f t="shared" si="5"/>
        <v/>
      </c>
      <c r="CI69" s="55" t="str">
        <f>IF($V69="初級",VLOOKUP($BO69,参照データ!$C$47:$U$60,17,0),IF($V69="中級",VLOOKUP($BO69,参照データ!$C$47:$U$60,18,0),IF($V69="上級",VLOOKUP($BO69,参照データ!$C$47:$U$60,19,0),"")))</f>
        <v/>
      </c>
      <c r="CJ69" s="868"/>
      <c r="CK69" s="73" t="s">
        <v>293</v>
      </c>
      <c r="CL69" s="150" t="str">
        <f t="shared" si="6"/>
        <v/>
      </c>
      <c r="CM69" s="872"/>
      <c r="CO69" s="61">
        <f>IF(AND($BJ69&gt;=参照データ!$C$71,$BJ69&lt;=参照データ!$C$69),1,IF(AND($BJ69&gt;=参照データ!$C$74,$BJ69&lt;=参照データ!$C$72),2,IF(AND($BJ69&gt;=参照データ!$C$77,$BJ69&lt;=参照データ!$C$75),3,IF(AND($BJ69&gt;=参照データ!$C$80,$BJ69&lt;=参照データ!$C$78),4,IF(AND($BJ69&gt;=参照データ!$C$83,$BJ69&lt;=参照データ!$C$81),5,IF(AND($BJ69&gt;0,$BJ69&lt;=参照データ!$C$84),6,""))))))</f>
        <v>5</v>
      </c>
      <c r="CP69" s="160" t="str">
        <f>IF($Y69="オープン",(VLOOKUP($CO69,参照データ!$D$69:$J$86,2,0)),"")</f>
        <v/>
      </c>
      <c r="CQ69" s="79" t="str">
        <f t="shared" si="27"/>
        <v/>
      </c>
      <c r="CR69" s="78" t="str">
        <f>IF($AA69="オープン",(VLOOKUP($CO69,参照データ!$D$69:$J$86,3,0)),"")</f>
        <v/>
      </c>
      <c r="CS69" s="79" t="str">
        <f t="shared" si="28"/>
        <v/>
      </c>
      <c r="CT69" s="78" t="str">
        <f>IF($AC69="オープン",(VLOOKUP($CO69,参照データ!$D$69:$J$86,4,0)),"")</f>
        <v/>
      </c>
      <c r="CU69" s="79" t="str">
        <f t="shared" si="29"/>
        <v/>
      </c>
      <c r="CV69" s="78" t="str">
        <f>IF($AE69="オープン",(VLOOKUP($CO69,参照データ!$D$69:$J$86,5,0)),"")</f>
        <v/>
      </c>
      <c r="CW69" s="79" t="str">
        <f t="shared" si="7"/>
        <v/>
      </c>
      <c r="CX69" s="78" t="str">
        <f>IF($AG69="オープン",(VLOOKUP($CO69,参照データ!$D$69:$J$86,6,0)),"")</f>
        <v/>
      </c>
      <c r="CY69" s="79" t="str">
        <f t="shared" si="30"/>
        <v/>
      </c>
      <c r="CZ69" s="38" t="str">
        <f t="shared" si="31"/>
        <v/>
      </c>
      <c r="DA69" s="37" t="str">
        <f t="shared" si="32"/>
        <v/>
      </c>
      <c r="DB69" s="79" t="str">
        <f t="shared" si="33"/>
        <v/>
      </c>
      <c r="DC69" s="858"/>
      <c r="DD69" s="85" t="s">
        <v>143</v>
      </c>
      <c r="DE69" s="86" t="str">
        <f t="shared" si="34"/>
        <v/>
      </c>
      <c r="DF69" s="860"/>
      <c r="DG69" s="350" t="str">
        <f t="shared" ref="DG69" si="158">$DG68</f>
        <v/>
      </c>
      <c r="DH69" s="523">
        <f>IF(AND($BJ69&gt;=参照データ!$C$130,$BJ69&lt;=参照データ!$C$128),1,IF(AND($BJ69&gt;=参照データ!$C$133,$BJ69&lt;=参照データ!$C$131),2,IF(AND($BJ69&gt;=参照データ!$C$139,$BJ69&lt;=参照データ!$C$137),3,IF(AND($BJ69&gt;0,$BJ69&lt;=参照データ!$C$140),4,""))))</f>
        <v>1</v>
      </c>
      <c r="DI69" s="523">
        <f t="shared" si="35"/>
        <v>7</v>
      </c>
      <c r="DJ69" s="523" t="str">
        <f t="shared" si="36"/>
        <v/>
      </c>
      <c r="DK69" s="524" t="str">
        <f>IF($AN69="","",IF(AND($AN69="○",$BK69="男子"),VLOOKUP($DI69,参照データ!$D$128:$J$145,3,FALSE),VLOOKUP($DH69,参照データ!$D$128:$J$145,3,FALSE)))</f>
        <v/>
      </c>
      <c r="DL69" s="525" t="str">
        <f t="shared" si="37"/>
        <v/>
      </c>
      <c r="DM69" s="524" t="str">
        <f>IF($AP69="","",IF(AND($AP69="○",$BK69="男子"),VLOOKUP($DI69,参照データ!$D$128:$J$145,4,FALSE),VLOOKUP($DH69,参照データ!$D$128:$J$145,4,FALSE)))</f>
        <v/>
      </c>
      <c r="DN69" s="525" t="str">
        <f t="shared" si="38"/>
        <v/>
      </c>
      <c r="DO69" s="524" t="str">
        <f>IF($AR69="","",IF(AND($AR69="○",$BK69="男子"),VLOOKUP($DI69,参照データ!$D$128:$J$145,5,FALSE),VLOOKUP($DH69,参照データ!$D$128:$J$145,5,FALSE)))</f>
        <v/>
      </c>
      <c r="DP69" s="525" t="str">
        <f t="shared" si="39"/>
        <v/>
      </c>
      <c r="DQ69" s="524" t="str">
        <f>IF($AT69="","",IF(AND($AT69="○",$BK69="男子"),VLOOKUP($DI69,参照データ!$D$128:$J$145,6,FALSE),VLOOKUP($DH69,参照データ!$D$128:$J$145,6,FALSE)))</f>
        <v/>
      </c>
      <c r="DR69" s="525" t="str">
        <f t="shared" si="40"/>
        <v/>
      </c>
      <c r="DS69" s="526" t="str">
        <f t="shared" si="41"/>
        <v/>
      </c>
      <c r="DT69" s="527" t="str">
        <f t="shared" si="42"/>
        <v/>
      </c>
      <c r="DU69" s="528" t="str">
        <f t="shared" si="43"/>
        <v/>
      </c>
      <c r="DV69" s="983"/>
      <c r="DW69" s="531" t="s">
        <v>143</v>
      </c>
      <c r="DX69" s="532" t="str">
        <f t="shared" si="92"/>
        <v/>
      </c>
      <c r="DY69" s="994"/>
      <c r="DZ69" s="692" t="str">
        <f>$DZ68</f>
        <v/>
      </c>
      <c r="EA69" s="526" t="str">
        <f t="shared" si="85"/>
        <v/>
      </c>
      <c r="EB69" s="527" t="str">
        <f t="shared" si="86"/>
        <v/>
      </c>
      <c r="EC69" s="528" t="str">
        <f t="shared" si="87"/>
        <v/>
      </c>
      <c r="ED69" s="983"/>
      <c r="EE69" s="531" t="s">
        <v>143</v>
      </c>
      <c r="EF69" s="531" t="str">
        <f t="shared" si="88"/>
        <v/>
      </c>
      <c r="EG69" s="532" t="str">
        <f>IF(SUM(EF68:EF69)&lt;24,"",IF(SUM(EF68:EF69)&gt;=36,3,2))</f>
        <v/>
      </c>
      <c r="EH69" s="994"/>
      <c r="EI69" s="527" t="str">
        <f>$EI68</f>
        <v/>
      </c>
      <c r="EJ69" s="555" t="str">
        <f t="shared" si="13"/>
        <v/>
      </c>
      <c r="EK69" s="556" t="str">
        <f t="shared" si="44"/>
        <v/>
      </c>
      <c r="EL69" s="846"/>
      <c r="EM69" s="561" t="s">
        <v>829</v>
      </c>
      <c r="EN69" s="562" t="str">
        <f t="shared" si="45"/>
        <v/>
      </c>
      <c r="EO69" s="849"/>
      <c r="EP69" s="555" t="str">
        <f t="shared" si="115"/>
        <v/>
      </c>
      <c r="EQ69" s="556" t="str">
        <f t="shared" si="46"/>
        <v/>
      </c>
      <c r="ER69" s="846"/>
      <c r="ES69" s="561" t="s">
        <v>829</v>
      </c>
      <c r="ET69" s="562" t="str">
        <f t="shared" si="47"/>
        <v/>
      </c>
      <c r="EU69" s="849"/>
      <c r="EV69" s="38" t="str">
        <f t="shared" si="116"/>
        <v/>
      </c>
      <c r="EW69" s="552" t="str">
        <f t="shared" si="48"/>
        <v/>
      </c>
      <c r="EX69" s="833"/>
      <c r="EY69" s="559" t="s">
        <v>849</v>
      </c>
      <c r="EZ69" s="560" t="str">
        <f t="shared" si="49"/>
        <v/>
      </c>
      <c r="FA69" s="835"/>
      <c r="FB69" t="str">
        <f>IF($FC69="","",DATEDIF($BJ69,参照データ!$D$19,"Y"))</f>
        <v/>
      </c>
      <c r="FC69" s="298" t="str">
        <f>IFERROR(IF($BK69="男子",VLOOKUP($FJ69,参照データ!$D$92:$E$118,2,0),$FJ69),0)</f>
        <v/>
      </c>
      <c r="FD69" s="92" t="str">
        <f>IF($Y69="選手権",(VLOOKUP($FC69,参照データ!$D$92:$K$121,3,0)),"")</f>
        <v/>
      </c>
      <c r="FE69" s="93" t="str">
        <f t="shared" si="117"/>
        <v/>
      </c>
      <c r="FF69" s="92" t="str">
        <f>IF($AA69="選手権",(VLOOKUP($FC69,参照データ!$D$92:$K$121,4,0)),"")</f>
        <v/>
      </c>
      <c r="FG69" s="93" t="str">
        <f t="shared" si="118"/>
        <v/>
      </c>
      <c r="FH69" s="92" t="str">
        <f>IF($AC69="選手権",(VLOOKUP($FC69,参照データ!$D$92:$K$121,5,0)),"")</f>
        <v/>
      </c>
      <c r="FI69" s="93" t="str">
        <f t="shared" si="119"/>
        <v/>
      </c>
      <c r="FJ69" s="61" t="str">
        <f>IF(AND($BJ69&gt;=参照データ!$C$94,$BJ69&lt;=参照データ!$C$92),1,IF(AND($BJ69&gt;=参照データ!$C$97,$BJ69&lt;=参照データ!$C$95),2,IF(AND($BJ69&gt;=参照データ!$C$103,$BJ69&lt;=参照データ!$C$101),3,IF(AND($BJ69&gt;=参照データ!$C$109,$BJ69&lt;=参照データ!$C$107),4,IF(AND($BJ69&gt;=参照データ!$C$115,$BJ69&lt;=参照データ!$C$113),5,IF(AND($BJ69&gt;0,$BJ69&lt;=参照データ!$C$116),6,""))))))</f>
        <v/>
      </c>
      <c r="FK69" s="92" t="str">
        <f>IF($AE69="選手権",(VLOOKUP($FJ69,参照データ!$D$92:$K$121,6,0)),"")</f>
        <v/>
      </c>
      <c r="FL69" s="93" t="str">
        <f t="shared" si="19"/>
        <v/>
      </c>
      <c r="FM69" s="92" t="str">
        <f>IF($AG69="選手権",(VLOOKUP($FJ69,参照データ!$D$92:$K$121,7,0)),"")</f>
        <v/>
      </c>
      <c r="FN69" s="93" t="str">
        <f t="shared" si="50"/>
        <v/>
      </c>
      <c r="FO69" s="38" t="str">
        <f t="shared" si="51"/>
        <v/>
      </c>
      <c r="FP69" s="37" t="str">
        <f t="shared" si="52"/>
        <v/>
      </c>
      <c r="FQ69" s="93" t="str">
        <f t="shared" si="53"/>
        <v/>
      </c>
      <c r="FR69" s="976"/>
      <c r="FS69" s="99" t="s">
        <v>143</v>
      </c>
      <c r="FT69" s="100" t="str">
        <f t="shared" si="120"/>
        <v/>
      </c>
      <c r="FU69" s="978"/>
      <c r="FV69" s="356" t="str">
        <f t="shared" si="156"/>
        <v/>
      </c>
      <c r="FY69" s="40">
        <f>(COUNTIF($J69:$O69,"&lt;&gt;"))*参照データ!$E$3</f>
        <v>0</v>
      </c>
      <c r="FZ69" s="267" t="str">
        <f>IF($P69="○",参照データ!$E$4,"")</f>
        <v/>
      </c>
      <c r="GA69" s="19">
        <f>(SUM(COUNTIF($Q69:$U69,{"入門","初級"}))*参照データ!$E$9)+(SUM(COUNTIF($Q69:$U69,{"中級","上級"})*参照データ!$E$10))</f>
        <v>0</v>
      </c>
      <c r="GB69" s="19">
        <f>IFERROR(VLOOKUP($V69,参照データ!$D$9:$J$11,7,0),0)</f>
        <v>0</v>
      </c>
      <c r="GC69" s="19">
        <f>((COUNTIF($Y69:$AG69,"オープン"))*参照データ!$E$12)</f>
        <v>0</v>
      </c>
      <c r="GD69" s="19" t="str">
        <f>(IF($AI69="オープン",参照データ!$J$12,""))</f>
        <v/>
      </c>
      <c r="GE69" s="19">
        <f>(COUNTIF($AN69:$AU69,"○")*参照データ!$E$22)</f>
        <v>0</v>
      </c>
      <c r="GF69" s="19">
        <f>(COUNTIF($AV69:$BA69,"○")*参照データ!$I$22)</f>
        <v>0</v>
      </c>
      <c r="GI69" s="19">
        <f>((COUNTIF($Y69:$AG69,"選手権"))*参照データ!$E$13)</f>
        <v>0</v>
      </c>
      <c r="GJ69" s="19" t="str">
        <f>(IF($AI69="選手権",参照データ!$J$13,""))</f>
        <v/>
      </c>
      <c r="GK69" s="106">
        <f t="array" ref="GK69">SUM(IF(ISERROR(FY69:GJ69),0,(FY69:GJ69)))</f>
        <v>0</v>
      </c>
      <c r="GL69" s="19"/>
      <c r="GM69" s="19">
        <f t="shared" si="54"/>
        <v>0</v>
      </c>
      <c r="GN69" s="19">
        <f t="shared" si="55"/>
        <v>0</v>
      </c>
      <c r="GO69" s="19">
        <f t="shared" si="56"/>
        <v>0</v>
      </c>
      <c r="GP69" s="19">
        <f t="shared" si="121"/>
        <v>0</v>
      </c>
      <c r="GQ69" s="19">
        <f t="shared" si="57"/>
        <v>0</v>
      </c>
      <c r="GR69" s="19">
        <f t="shared" si="58"/>
        <v>0</v>
      </c>
      <c r="GS69" s="19">
        <f t="shared" si="59"/>
        <v>0</v>
      </c>
      <c r="GT69" s="19">
        <f t="shared" si="60"/>
        <v>0</v>
      </c>
      <c r="GU69" s="19">
        <f t="shared" si="61"/>
        <v>0</v>
      </c>
      <c r="GV69" t="str">
        <f t="shared" si="122"/>
        <v/>
      </c>
      <c r="GW69" t="str">
        <f t="shared" si="62"/>
        <v/>
      </c>
      <c r="GX69" t="str">
        <f t="shared" si="123"/>
        <v/>
      </c>
      <c r="GY69" t="str">
        <f t="shared" si="63"/>
        <v/>
      </c>
      <c r="GZ69" t="str">
        <f t="shared" si="124"/>
        <v/>
      </c>
    </row>
    <row r="70" spans="1:208" ht="18.75" customHeight="1" x14ac:dyDescent="0.15">
      <c r="A70">
        <v>59</v>
      </c>
      <c r="B70" s="15" t="str">
        <f>IF(D70="","",IF(D70="重複","",COUNTIF(B$12:$B69,"&gt;0")+1))</f>
        <v/>
      </c>
      <c r="C70" s="713"/>
      <c r="D70" s="185"/>
      <c r="E70" s="185"/>
      <c r="F70" s="36"/>
      <c r="G70" s="47"/>
      <c r="H70" s="402">
        <f t="shared" si="112"/>
        <v>0</v>
      </c>
      <c r="I70" s="201" t="str">
        <f>IF($BJ70=0,"",DATEDIF($BJ70,参照データ!$D$16,"Y"))</f>
        <v/>
      </c>
      <c r="J70" s="41"/>
      <c r="K70" s="41"/>
      <c r="L70" s="41"/>
      <c r="M70" s="41"/>
      <c r="N70" s="41"/>
      <c r="O70" s="49"/>
      <c r="P70" s="395"/>
      <c r="Q70" s="51"/>
      <c r="R70" s="289"/>
      <c r="S70" s="289"/>
      <c r="T70" s="289"/>
      <c r="U70" s="290"/>
      <c r="V70" s="294"/>
      <c r="W70" s="296"/>
      <c r="Y70" s="446"/>
      <c r="Z70" s="396" t="str">
        <f>IF($Y70="オープン",VLOOKUP($CO70,参照データ!$D$69:$M$86,9,0),IF($Y70="選手権",VLOOKUP($FC70,参照データ!$D$92:$O$121,10,0),""))</f>
        <v/>
      </c>
      <c r="AA70" s="446"/>
      <c r="AB70" s="666" t="str">
        <f>IF($AA70="オープン",VLOOKUP($CO70,参照データ!$D$69:$M$86,10,0),IF($AA70="選手権",VLOOKUP($FC70,参照データ!$D$92:$O$121,11,0),""))</f>
        <v/>
      </c>
      <c r="AC70" s="669"/>
      <c r="AD70" s="396" t="str">
        <f>IF($AC70="オープン",VLOOKUP($CO70,参照データ!$D$69:$M$86,10,0),IF($AC70="選手権",VLOOKUP($FC70,参照データ!$D$92:$O$121,11,0),""))</f>
        <v/>
      </c>
      <c r="AE70" s="446"/>
      <c r="AF70" s="396" t="str">
        <f>IF($AE70="オープン",VLOOKUP($CO70,参照データ!$D$69:$M$86,10,0),IF($AE70="選手権",VLOOKUP($FJ70,参照データ!$D$92:$O$121,12,0),""))</f>
        <v/>
      </c>
      <c r="AG70" s="446"/>
      <c r="AH70" s="396" t="str">
        <f>IF($AG70="オープン",VLOOKUP($CO70,参照データ!$D$69:$M$86,10,0),IF($AG70="選手権",VLOOKUP($FJ70,参照データ!$D$92:$O$121,12,0),""))</f>
        <v/>
      </c>
      <c r="AI70" s="446"/>
      <c r="AJ70" s="451"/>
      <c r="AK70" s="396" t="str">
        <f t="shared" si="113"/>
        <v/>
      </c>
      <c r="AL70" s="587"/>
      <c r="AM70" s="589" t="str">
        <f>IF($BJ70=0,"",DATEDIF($BJ70,参照データ!$D$17,"Y"))</f>
        <v/>
      </c>
      <c r="AN70" s="452"/>
      <c r="AO70" s="591" t="str">
        <f>IF(AN70="","",IF($BK70="男子",VLOOKUP($DI70,参照データ!$D$128:$M$145,10,FALSE),VLOOKUP($DH70,参照データ!$D$128:$M$145,10,FALSE)))</f>
        <v/>
      </c>
      <c r="AP70" s="452"/>
      <c r="AQ70" s="591" t="str">
        <f>IF(AP70="","",IF($BK70="男子",VLOOKUP($DI70,参照データ!$D$128:$M$145,10,FALSE),VLOOKUP($DH70,参照データ!$D$128:$M$145,10,FALSE)))</f>
        <v/>
      </c>
      <c r="AR70" s="452"/>
      <c r="AS70" s="591" t="str">
        <f>IF(AR70="","",IF($BK70="男子",VLOOKUP($DI70,参照データ!$D$128:$M$145,10,FALSE),VLOOKUP($DH70,参照データ!$D$128:$M$145,10,FALSE)))</f>
        <v/>
      </c>
      <c r="AT70" s="452"/>
      <c r="AU70" s="591" t="str">
        <f>IF(AT70="","",IF($BK70="男子",VLOOKUP($DI70,参照データ!$D$128:$M$145,10,FALSE),VLOOKUP($DH70,参照データ!$D$128:$M$145,10,FALSE)))</f>
        <v/>
      </c>
      <c r="AV70" s="448"/>
      <c r="AW70" s="453"/>
      <c r="AX70" s="585" t="str">
        <f t="shared" si="25"/>
        <v/>
      </c>
      <c r="AY70" s="448"/>
      <c r="AZ70" s="453"/>
      <c r="BA70" s="586" t="str">
        <f t="shared" si="83"/>
        <v/>
      </c>
      <c r="BB70" s="679"/>
      <c r="BC70" s="726"/>
      <c r="BD70" s="642"/>
      <c r="BE70" s="483"/>
      <c r="BF70" s="365"/>
      <c r="BG70" s="366"/>
      <c r="BJ70">
        <f t="shared" si="75"/>
        <v>0</v>
      </c>
      <c r="BK70" t="str">
        <f t="shared" si="65"/>
        <v/>
      </c>
      <c r="BL70" s="146"/>
      <c r="BO70" s="61" t="str">
        <f>IF($BJ70=0,"",IF(AND($I70&gt;=6,$I70&lt;=19),VLOOKUP($I70,参照データ!$B$28:$C$41,2,0),IF($I70&lt;6,6,19)))</f>
        <v/>
      </c>
      <c r="BP70" s="178" t="str">
        <f>IF($J70=$BI$12,VLOOKUP($BO70,参照データ!$C$28:$I$41,2,0),"")</f>
        <v/>
      </c>
      <c r="BQ70" s="169" t="str">
        <f>IF($K70=$BI$12,VLOOKUP($BO70,参照データ!$C$28:$I$41,3,0),"")</f>
        <v/>
      </c>
      <c r="BR70" s="169" t="str">
        <f>IF($L70=$BI$12,VLOOKUP($BO70,参照データ!$C$28:$I$41,4,0),"")</f>
        <v/>
      </c>
      <c r="BS70" s="169" t="str">
        <f>IF($M70=$BI$12,VLOOKUP($BO70,参照データ!$C$28:$I$41,5,0),"")</f>
        <v/>
      </c>
      <c r="BT70" s="169" t="str">
        <f>IF($N70=$BI$12,VLOOKUP($BO70,参照データ!$C$28:$I$41,6,0),"")</f>
        <v/>
      </c>
      <c r="BU70" s="179" t="str">
        <f>IF($O70=$BI$12,VLOOKUP($BO70,参照データ!$C$28:$I$41,7,0),"")</f>
        <v/>
      </c>
      <c r="BV70" s="178" t="str">
        <f>IF($J70=$BI$13,VLOOKUP($BO70,参照データ!$C$28:$I$41,2,0),"")</f>
        <v/>
      </c>
      <c r="BW70" s="169" t="str">
        <f>IF($K70=$BI$13,VLOOKUP($BO70,参照データ!$C$28:$I$41,3,0),"")</f>
        <v/>
      </c>
      <c r="BX70" s="169" t="str">
        <f>IF($L70=$BI$13,VLOOKUP($BO70,参照データ!$C$28:$I$41,4,0),"")</f>
        <v/>
      </c>
      <c r="BY70" s="169" t="str">
        <f>IF($M70=$BI$13,VLOOKUP($BO70,参照データ!$C$28:$I$41,5,0),"")</f>
        <v/>
      </c>
      <c r="BZ70" s="169" t="str">
        <f>IF($N70=$BI$13,VLOOKUP($BO70,参照データ!$C$28:$I$41,6,0),"")</f>
        <v/>
      </c>
      <c r="CA70" s="179" t="str">
        <f>IF($O70=$BI$13,VLOOKUP($BO70,参照データ!$C$28:$I$41,7,0),"")</f>
        <v/>
      </c>
      <c r="CB70" s="271" t="str">
        <f t="shared" si="26"/>
        <v/>
      </c>
      <c r="CC70" s="177" t="str">
        <f>IF($Q70="入門",VLOOKUP($BO70,参照データ!$C$47:$U$60,2,0),IF($Q70="初級",VLOOKUP($BO70,参照データ!$C$47:$U$60,3,0),IF($Q70="中級",VLOOKUP($BO70,参照データ!$C$47:$U$60,4,0),IF($Q70="上級",VLOOKUP($BO70,参照データ!$C$47:$U$60,5,0),""))))</f>
        <v/>
      </c>
      <c r="CD70" s="177" t="str">
        <f>IF($R70="初級",VLOOKUP($BO70,参照データ!$C$47:$U$60,6,0),IF($R70="中級",VLOOKUP($BO70,参照データ!$C$47:$U$60,7,0),IF($R70="上級",VLOOKUP($BO70,参照データ!$C$47:$U$60,8,0),"")))</f>
        <v/>
      </c>
      <c r="CE70" s="177" t="str">
        <f>IF($S70="初級",VLOOKUP($BO70,参照データ!$C$47:$U$60,9,0),IF($S70="上級",VLOOKUP($BO70,参照データ!$C$47:$U$60,10,0),""))</f>
        <v/>
      </c>
      <c r="CF70" s="177" t="str">
        <f>IF($T70="初級",VLOOKUP($BO70,参照データ!$C$47:$U$60,11,0),IF($T70="中級",VLOOKUP($BO70,参照データ!$C$47:$U$60,12,0),IF($T70="上級",VLOOKUP($BO70,参照データ!$C$47:$U$60,13,0),"")))</f>
        <v/>
      </c>
      <c r="CG70" s="177" t="str">
        <f>IF($U70="初級",VLOOKUP($BO70,参照データ!$C$47:$U$60,14,0),IF($U70="中級",VLOOKUP($BO70,参照データ!$C$47:$U$60,15,0),IF($U70="上級",VLOOKUP($BO70,参照データ!$C$47:$U$60,16,0),"")))</f>
        <v/>
      </c>
      <c r="CH70" s="55" t="str">
        <f t="shared" si="5"/>
        <v/>
      </c>
      <c r="CI70" s="55" t="str">
        <f>IF($V70="初級",VLOOKUP($BO70,参照データ!$C$47:$U$60,17,0),IF($V70="中級",VLOOKUP($BO70,参照データ!$C$47:$U$60,18,0),IF($V70="上級",VLOOKUP($BO70,参照データ!$C$47:$U$60,19,0),"")))</f>
        <v/>
      </c>
      <c r="CJ70" s="867">
        <v>30</v>
      </c>
      <c r="CK70" s="74" t="s">
        <v>294</v>
      </c>
      <c r="CL70" s="151" t="str">
        <f t="shared" si="6"/>
        <v/>
      </c>
      <c r="CM70" s="871" t="str">
        <f t="shared" ref="CM70" si="159">IF(OR($CL70="",$CL71=""),"",IF($CL70&gt;$CL71,$CL70,$CL71))</f>
        <v/>
      </c>
      <c r="CO70" s="61">
        <f>IF(AND($BJ70&gt;=参照データ!$C$71,$BJ70&lt;=参照データ!$C$69),1,IF(AND($BJ70&gt;=参照データ!$C$74,$BJ70&lt;=参照データ!$C$72),2,IF(AND($BJ70&gt;=参照データ!$C$77,$BJ70&lt;=参照データ!$C$75),3,IF(AND($BJ70&gt;=参照データ!$C$80,$BJ70&lt;=参照データ!$C$78),4,IF(AND($BJ70&gt;=参照データ!$C$83,$BJ70&lt;=参照データ!$C$81),5,IF(AND($BJ70&gt;0,$BJ70&lt;=参照データ!$C$84),6,""))))))</f>
        <v>5</v>
      </c>
      <c r="CP70" s="160" t="str">
        <f>IF($Y70="オープン",(VLOOKUP($CO70,参照データ!$D$69:$J$86,2,0)),"")</f>
        <v/>
      </c>
      <c r="CQ70" s="79" t="str">
        <f t="shared" si="27"/>
        <v/>
      </c>
      <c r="CR70" s="78" t="str">
        <f>IF($AA70="オープン",(VLOOKUP($CO70,参照データ!$D$69:$J$86,3,0)),"")</f>
        <v/>
      </c>
      <c r="CS70" s="79" t="str">
        <f t="shared" si="28"/>
        <v/>
      </c>
      <c r="CT70" s="78" t="str">
        <f>IF($AC70="オープン",(VLOOKUP($CO70,参照データ!$D$69:$J$86,4,0)),"")</f>
        <v/>
      </c>
      <c r="CU70" s="79" t="str">
        <f t="shared" si="29"/>
        <v/>
      </c>
      <c r="CV70" s="78" t="str">
        <f>IF($AE70="オープン",(VLOOKUP($CO70,参照データ!$D$69:$J$86,5,0)),"")</f>
        <v/>
      </c>
      <c r="CW70" s="79" t="str">
        <f t="shared" si="7"/>
        <v/>
      </c>
      <c r="CX70" s="78" t="str">
        <f>IF($AG70="オープン",(VLOOKUP($CO70,参照データ!$D$69:$J$86,6,0)),"")</f>
        <v/>
      </c>
      <c r="CY70" s="79" t="str">
        <f t="shared" si="30"/>
        <v/>
      </c>
      <c r="CZ70" s="38" t="str">
        <f t="shared" si="31"/>
        <v/>
      </c>
      <c r="DA70" s="37" t="str">
        <f t="shared" si="32"/>
        <v/>
      </c>
      <c r="DB70" s="79" t="str">
        <f t="shared" si="33"/>
        <v/>
      </c>
      <c r="DC70" s="857">
        <v>30</v>
      </c>
      <c r="DD70" s="87" t="s">
        <v>144</v>
      </c>
      <c r="DE70" s="88" t="str">
        <f t="shared" si="34"/>
        <v/>
      </c>
      <c r="DF70" s="859" t="e">
        <f>IF($DE70&gt;$DE71,VLOOKUP($DE70,参照データ!$D$69:$J$86,7,0),VLOOKUP($DE71,参照データ!$D$69:$J$86,7,0))</f>
        <v>#N/A</v>
      </c>
      <c r="DG70" s="350" t="str">
        <f>IFERROR(VLOOKUP($DF70,参照データ!$J$69:$M$86,4,0),"")</f>
        <v/>
      </c>
      <c r="DH70" s="523">
        <f>IF(AND($BJ70&gt;=参照データ!$C$130,$BJ70&lt;=参照データ!$C$128),1,IF(AND($BJ70&gt;=参照データ!$C$133,$BJ70&lt;=参照データ!$C$131),2,IF(AND($BJ70&gt;=参照データ!$C$139,$BJ70&lt;=参照データ!$C$137),3,IF(AND($BJ70&gt;0,$BJ70&lt;=参照データ!$C$140),4,""))))</f>
        <v>1</v>
      </c>
      <c r="DI70" s="523">
        <f t="shared" si="35"/>
        <v>7</v>
      </c>
      <c r="DJ70" s="523" t="str">
        <f t="shared" si="36"/>
        <v/>
      </c>
      <c r="DK70" s="524" t="str">
        <f>IF($AN70="","",IF(AND($AN70="○",$BK70="男子"),VLOOKUP($DI70,参照データ!$D$128:$J$145,3,FALSE),VLOOKUP($DH70,参照データ!$D$128:$J$145,3,FALSE)))</f>
        <v/>
      </c>
      <c r="DL70" s="525" t="str">
        <f t="shared" si="37"/>
        <v/>
      </c>
      <c r="DM70" s="524" t="str">
        <f>IF($AP70="","",IF(AND($AP70="○",$BK70="男子"),VLOOKUP($DI70,参照データ!$D$128:$J$145,4,FALSE),VLOOKUP($DH70,参照データ!$D$128:$J$145,4,FALSE)))</f>
        <v/>
      </c>
      <c r="DN70" s="525" t="str">
        <f t="shared" si="38"/>
        <v/>
      </c>
      <c r="DO70" s="524" t="str">
        <f>IF($AR70="","",IF(AND($AR70="○",$BK70="男子"),VLOOKUP($DI70,参照データ!$D$128:$J$145,5,FALSE),VLOOKUP($DH70,参照データ!$D$128:$J$145,5,FALSE)))</f>
        <v/>
      </c>
      <c r="DP70" s="525" t="str">
        <f t="shared" si="39"/>
        <v/>
      </c>
      <c r="DQ70" s="524" t="str">
        <f>IF($AT70="","",IF(AND($AT70="○",$BK70="男子"),VLOOKUP($DI70,参照データ!$D$128:$J$145,6,FALSE),VLOOKUP($DH70,参照データ!$D$128:$J$145,6,FALSE)))</f>
        <v/>
      </c>
      <c r="DR70" s="525" t="str">
        <f t="shared" si="40"/>
        <v/>
      </c>
      <c r="DS70" s="526" t="str">
        <f t="shared" si="41"/>
        <v/>
      </c>
      <c r="DT70" s="527" t="str">
        <f t="shared" si="42"/>
        <v/>
      </c>
      <c r="DU70" s="528" t="str">
        <f t="shared" si="43"/>
        <v/>
      </c>
      <c r="DV70" s="982">
        <v>30</v>
      </c>
      <c r="DW70" s="533" t="s">
        <v>144</v>
      </c>
      <c r="DX70" s="534" t="str">
        <f t="shared" si="92"/>
        <v/>
      </c>
      <c r="DY70" s="877" t="e">
        <f>IF($DX70&gt;$DX71,VLOOKUP($DX70,参照データ!$D$128:$K$145,7,0),VLOOKUP($DX71,参照データ!$D$128:$K$145,7,0))</f>
        <v>#N/A</v>
      </c>
      <c r="DZ70" s="692" t="str">
        <f>IFERROR(VLOOKUP($DY70,参照データ!$J$128:$N$145,5,0),"")</f>
        <v/>
      </c>
      <c r="EA70" s="526" t="str">
        <f t="shared" si="85"/>
        <v/>
      </c>
      <c r="EB70" s="527" t="str">
        <f t="shared" si="86"/>
        <v/>
      </c>
      <c r="EC70" s="528" t="str">
        <f t="shared" si="87"/>
        <v/>
      </c>
      <c r="ED70" s="982">
        <v>30</v>
      </c>
      <c r="EE70" s="533" t="s">
        <v>144</v>
      </c>
      <c r="EF70" s="533" t="str">
        <f t="shared" si="88"/>
        <v/>
      </c>
      <c r="EG70" s="534" t="str">
        <f>IF(SUM(EF70:EF71)&lt;24,"",IF(SUM(EF70:EF71)&gt;=36,3,2))</f>
        <v/>
      </c>
      <c r="EH70" s="877" t="e">
        <f>IF($EG70&gt;$EG71,VLOOKUP($EG70,参照データ!$D$128:$K$145,8,0),VLOOKUP($EG71,参照データ!$D$128:$K$145,8,0))</f>
        <v>#N/A</v>
      </c>
      <c r="EI70" s="527" t="str">
        <f>IFERROR(VLOOKUP($EH70,参照データ!$K$128:$N$145,4,0),"")</f>
        <v/>
      </c>
      <c r="EJ70" s="555" t="str">
        <f t="shared" si="13"/>
        <v/>
      </c>
      <c r="EK70" s="556" t="str">
        <f t="shared" si="44"/>
        <v/>
      </c>
      <c r="EL70" s="846"/>
      <c r="EM70" s="561" t="s">
        <v>830</v>
      </c>
      <c r="EN70" s="562" t="str">
        <f t="shared" si="45"/>
        <v/>
      </c>
      <c r="EO70" s="849"/>
      <c r="EP70" s="555" t="str">
        <f t="shared" si="115"/>
        <v/>
      </c>
      <c r="EQ70" s="556" t="str">
        <f t="shared" si="46"/>
        <v/>
      </c>
      <c r="ER70" s="846"/>
      <c r="ES70" s="561" t="s">
        <v>830</v>
      </c>
      <c r="ET70" s="562" t="str">
        <f t="shared" si="47"/>
        <v/>
      </c>
      <c r="EU70" s="849"/>
      <c r="EV70" s="38" t="str">
        <f t="shared" si="116"/>
        <v/>
      </c>
      <c r="EW70" s="552" t="str">
        <f t="shared" si="48"/>
        <v/>
      </c>
      <c r="EX70" s="833"/>
      <c r="EY70" s="559" t="s">
        <v>850</v>
      </c>
      <c r="EZ70" s="560" t="str">
        <f t="shared" si="49"/>
        <v/>
      </c>
      <c r="FA70" s="835"/>
      <c r="FB70" t="str">
        <f>IF($FC70="","",DATEDIF($BJ70,参照データ!$D$19,"Y"))</f>
        <v/>
      </c>
      <c r="FC70" s="298" t="str">
        <f>IFERROR(IF($BK70="男子",VLOOKUP($FJ70,参照データ!$D$92:$E$118,2,0),$FJ70),0)</f>
        <v/>
      </c>
      <c r="FD70" s="92" t="str">
        <f>IF($Y70="選手権",(VLOOKUP($FC70,参照データ!$D$92:$K$121,3,0)),"")</f>
        <v/>
      </c>
      <c r="FE70" s="93" t="str">
        <f t="shared" si="117"/>
        <v/>
      </c>
      <c r="FF70" s="92" t="str">
        <f>IF($AA70="選手権",(VLOOKUP($FC70,参照データ!$D$92:$K$121,4,0)),"")</f>
        <v/>
      </c>
      <c r="FG70" s="93" t="str">
        <f t="shared" si="118"/>
        <v/>
      </c>
      <c r="FH70" s="92" t="str">
        <f>IF($AC70="選手権",(VLOOKUP($FC70,参照データ!$D$92:$K$121,5,0)),"")</f>
        <v/>
      </c>
      <c r="FI70" s="93" t="str">
        <f t="shared" si="119"/>
        <v/>
      </c>
      <c r="FJ70" s="61" t="str">
        <f>IF(AND($BJ70&gt;=参照データ!$C$94,$BJ70&lt;=参照データ!$C$92),1,IF(AND($BJ70&gt;=参照データ!$C$97,$BJ70&lt;=参照データ!$C$95),2,IF(AND($BJ70&gt;=参照データ!$C$103,$BJ70&lt;=参照データ!$C$101),3,IF(AND($BJ70&gt;=参照データ!$C$109,$BJ70&lt;=参照データ!$C$107),4,IF(AND($BJ70&gt;=参照データ!$C$115,$BJ70&lt;=参照データ!$C$113),5,IF(AND($BJ70&gt;0,$BJ70&lt;=参照データ!$C$116),6,""))))))</f>
        <v/>
      </c>
      <c r="FK70" s="92" t="str">
        <f>IF($AE70="選手権",(VLOOKUP($FJ70,参照データ!$D$92:$K$121,6,0)),"")</f>
        <v/>
      </c>
      <c r="FL70" s="93" t="str">
        <f t="shared" si="19"/>
        <v/>
      </c>
      <c r="FM70" s="92" t="str">
        <f>IF($AG70="選手権",(VLOOKUP($FJ70,参照データ!$D$92:$K$121,7,0)),"")</f>
        <v/>
      </c>
      <c r="FN70" s="93" t="str">
        <f t="shared" si="50"/>
        <v/>
      </c>
      <c r="FO70" s="38" t="str">
        <f t="shared" si="51"/>
        <v/>
      </c>
      <c r="FP70" s="37" t="str">
        <f t="shared" si="52"/>
        <v/>
      </c>
      <c r="FQ70" s="93" t="str">
        <f t="shared" si="53"/>
        <v/>
      </c>
      <c r="FR70" s="979">
        <v>30</v>
      </c>
      <c r="FS70" s="101" t="s">
        <v>144</v>
      </c>
      <c r="FT70" s="102" t="str">
        <f t="shared" si="120"/>
        <v/>
      </c>
      <c r="FU70" s="980" t="e">
        <f>IF($FT70&gt;$FT71,VLOOKUP($FT70,参照データ!$D$92:$K$121,8,0),VLOOKUP($FT71,参照データ!$D$92:$K$121,8,0))</f>
        <v>#N/A</v>
      </c>
      <c r="FV70" s="356" t="str">
        <f>IFERROR(VLOOKUP($FU70,参照データ!$K$92:$O$121,5,0),"")</f>
        <v/>
      </c>
      <c r="FY70" s="40">
        <f>(COUNTIF($J70:$O70,"&lt;&gt;"))*参照データ!$E$3</f>
        <v>0</v>
      </c>
      <c r="FZ70" s="267" t="str">
        <f>IF($P70="○",参照データ!$E$4,"")</f>
        <v/>
      </c>
      <c r="GA70" s="19">
        <f>(SUM(COUNTIF($Q70:$U70,{"入門","初級"}))*参照データ!$E$9)+(SUM(COUNTIF($Q70:$U70,{"中級","上級"})*参照データ!$E$10))</f>
        <v>0</v>
      </c>
      <c r="GB70" s="19">
        <f>IFERROR(VLOOKUP($V70,参照データ!$D$9:$J$11,7,0),0)</f>
        <v>0</v>
      </c>
      <c r="GC70" s="19">
        <f>((COUNTIF($Y70:$AG70,"オープン"))*参照データ!$E$12)</f>
        <v>0</v>
      </c>
      <c r="GD70" s="19" t="str">
        <f>(IF($AI70="オープン",参照データ!$J$12,""))</f>
        <v/>
      </c>
      <c r="GE70" s="19">
        <f>(COUNTIF($AN70:$AU70,"○")*参照データ!$E$22)</f>
        <v>0</v>
      </c>
      <c r="GF70" s="19">
        <f>(COUNTIF($AV70:$BA70,"○")*参照データ!$I$22)</f>
        <v>0</v>
      </c>
      <c r="GI70" s="19">
        <f>((COUNTIF($Y70:$AG70,"選手権"))*参照データ!$E$13)</f>
        <v>0</v>
      </c>
      <c r="GJ70" s="19" t="str">
        <f>(IF($AI70="選手権",参照データ!$J$13,""))</f>
        <v/>
      </c>
      <c r="GK70" s="106">
        <f t="array" ref="GK70">SUM(IF(ISERROR(FY70:GJ70),0,(FY70:GJ70)))</f>
        <v>0</v>
      </c>
      <c r="GL70" s="19"/>
      <c r="GM70" s="19">
        <f t="shared" si="54"/>
        <v>0</v>
      </c>
      <c r="GN70" s="19">
        <f t="shared" si="55"/>
        <v>0</v>
      </c>
      <c r="GO70" s="19">
        <f t="shared" si="56"/>
        <v>0</v>
      </c>
      <c r="GP70" s="19">
        <f t="shared" si="121"/>
        <v>0</v>
      </c>
      <c r="GQ70" s="19">
        <f t="shared" si="57"/>
        <v>0</v>
      </c>
      <c r="GR70" s="19">
        <f t="shared" si="58"/>
        <v>0</v>
      </c>
      <c r="GS70" s="19">
        <f t="shared" si="59"/>
        <v>0</v>
      </c>
      <c r="GT70" s="19">
        <f t="shared" si="60"/>
        <v>0</v>
      </c>
      <c r="GU70" s="19">
        <f t="shared" si="61"/>
        <v>0</v>
      </c>
      <c r="GV70" t="str">
        <f t="shared" si="122"/>
        <v/>
      </c>
      <c r="GW70" t="str">
        <f t="shared" si="62"/>
        <v/>
      </c>
      <c r="GX70" t="str">
        <f t="shared" si="123"/>
        <v/>
      </c>
      <c r="GY70" t="str">
        <f t="shared" si="63"/>
        <v/>
      </c>
      <c r="GZ70" t="str">
        <f t="shared" si="124"/>
        <v/>
      </c>
    </row>
    <row r="71" spans="1:208" ht="18.75" customHeight="1" thickBot="1" x14ac:dyDescent="0.2">
      <c r="A71" s="184">
        <v>60</v>
      </c>
      <c r="B71" s="66" t="str">
        <f>IF(D71="","",IF(D71="重複","",COUNTIF(B$12:$B70,"&gt;0")+1))</f>
        <v/>
      </c>
      <c r="C71" s="714"/>
      <c r="D71" s="648"/>
      <c r="E71" s="648"/>
      <c r="F71" s="649"/>
      <c r="G71" s="650"/>
      <c r="H71" s="651">
        <f t="shared" si="112"/>
        <v>0</v>
      </c>
      <c r="I71" s="652" t="str">
        <f>IF($BJ71=0,"",DATEDIF($BJ71,参照データ!$D$16,"Y"))</f>
        <v/>
      </c>
      <c r="J71" s="653"/>
      <c r="K71" s="653"/>
      <c r="L71" s="653"/>
      <c r="M71" s="653"/>
      <c r="N71" s="653"/>
      <c r="O71" s="654"/>
      <c r="P71" s="655"/>
      <c r="Q71" s="656"/>
      <c r="R71" s="657"/>
      <c r="S71" s="657"/>
      <c r="T71" s="657"/>
      <c r="U71" s="658"/>
      <c r="V71" s="659"/>
      <c r="W71" s="660"/>
      <c r="X71" s="661"/>
      <c r="Y71" s="662"/>
      <c r="Z71" s="663" t="str">
        <f>IF($Y71="オープン",VLOOKUP($CO71,参照データ!$D$69:$M$86,9,0),IF($Y71="選手権",VLOOKUP($FC71,参照データ!$D$92:$O$121,10,0),""))</f>
        <v/>
      </c>
      <c r="AA71" s="662"/>
      <c r="AB71" s="667" t="str">
        <f>IF($AA71="オープン",VLOOKUP($CO71,参照データ!$D$69:$M$86,10,0),IF($AA71="選手権",VLOOKUP($FC71,参照データ!$D$92:$O$121,11,0),""))</f>
        <v/>
      </c>
      <c r="AC71" s="670"/>
      <c r="AD71" s="663" t="str">
        <f>IF($AC71="オープン",VLOOKUP($CO71,参照データ!$D$69:$M$86,10,0),IF($AC71="選手権",VLOOKUP($FC71,参照データ!$D$92:$O$121,11,0),""))</f>
        <v/>
      </c>
      <c r="AE71" s="662"/>
      <c r="AF71" s="663" t="str">
        <f>IF($AE71="オープン",VLOOKUP($CO71,参照データ!$D$69:$M$86,10,0),IF($AE71="選手権",VLOOKUP($FJ71,参照データ!$D$92:$O$121,12,0),""))</f>
        <v/>
      </c>
      <c r="AG71" s="662"/>
      <c r="AH71" s="663" t="str">
        <f>IF($AG71="オープン",VLOOKUP($CO71,参照データ!$D$69:$M$86,10,0),IF($AG71="選手権",VLOOKUP($FJ71,参照データ!$D$92:$O$121,12,0),""))</f>
        <v/>
      </c>
      <c r="AI71" s="662"/>
      <c r="AJ71" s="664"/>
      <c r="AK71" s="663" t="str">
        <f t="shared" si="113"/>
        <v/>
      </c>
      <c r="AL71" s="665"/>
      <c r="AM71" s="590" t="str">
        <f>IF($BJ71=0,"",DATEDIF($BJ71,参照データ!$D$17,"Y"))</f>
        <v/>
      </c>
      <c r="AN71" s="643"/>
      <c r="AO71" s="644" t="str">
        <f>IF(AN71="","",IF($BK71="男子",VLOOKUP($DI71,参照データ!$D$128:$M$145,10,FALSE),VLOOKUP($DH71,参照データ!$D$128:$M$145,10,FALSE)))</f>
        <v/>
      </c>
      <c r="AP71" s="643"/>
      <c r="AQ71" s="644" t="str">
        <f>IF(AP71="","",IF($BK71="男子",VLOOKUP($DI71,参照データ!$D$128:$M$145,10,FALSE),VLOOKUP($DH71,参照データ!$D$128:$M$145,10,FALSE)))</f>
        <v/>
      </c>
      <c r="AR71" s="643"/>
      <c r="AS71" s="644" t="str">
        <f>IF(AR71="","",IF($BK71="男子",VLOOKUP($DI71,参照データ!$D$128:$M$145,10,FALSE),VLOOKUP($DH71,参照データ!$D$128:$M$145,10,FALSE)))</f>
        <v/>
      </c>
      <c r="AT71" s="643"/>
      <c r="AU71" s="644" t="str">
        <f>IF(AT71="","",IF($BK71="男子",VLOOKUP($DI71,参照データ!$D$128:$M$145,10,FALSE),VLOOKUP($DH71,参照データ!$D$128:$M$145,10,FALSE)))</f>
        <v/>
      </c>
      <c r="AV71" s="645"/>
      <c r="AW71" s="645"/>
      <c r="AX71" s="646" t="str">
        <f t="shared" si="25"/>
        <v/>
      </c>
      <c r="AY71" s="645"/>
      <c r="AZ71" s="645"/>
      <c r="BA71" s="646" t="str">
        <f t="shared" si="83"/>
        <v/>
      </c>
      <c r="BB71" s="680"/>
      <c r="BC71" s="727"/>
      <c r="BD71" s="647"/>
      <c r="BE71" s="484"/>
      <c r="BF71" s="365"/>
      <c r="BG71" s="366"/>
      <c r="BJ71">
        <f t="shared" si="75"/>
        <v>0</v>
      </c>
      <c r="BK71" t="str">
        <f t="shared" si="65"/>
        <v/>
      </c>
      <c r="BL71" s="146"/>
      <c r="BO71" s="61" t="str">
        <f>IF($BJ71=0,"",IF(AND($I71&gt;=6,$I71&lt;=19),VLOOKUP($I71,参照データ!$B$28:$C$41,2,0),IF($I71&lt;6,6,19)))</f>
        <v/>
      </c>
      <c r="BP71" s="178" t="str">
        <f>IF($J71=$BI$12,VLOOKUP($BO71,参照データ!$C$28:$I$41,2,0),"")</f>
        <v/>
      </c>
      <c r="BQ71" s="169" t="str">
        <f>IF($K71=$BI$12,VLOOKUP($BO71,参照データ!$C$28:$I$41,3,0),"")</f>
        <v/>
      </c>
      <c r="BR71" s="169" t="str">
        <f>IF($L71=$BI$12,VLOOKUP($BO71,参照データ!$C$28:$I$41,4,0),"")</f>
        <v/>
      </c>
      <c r="BS71" s="169" t="str">
        <f>IF($M71=$BI$12,VLOOKUP($BO71,参照データ!$C$28:$I$41,5,0),"")</f>
        <v/>
      </c>
      <c r="BT71" s="169" t="str">
        <f>IF($N71=$BI$12,VLOOKUP($BO71,参照データ!$C$28:$I$41,6,0),"")</f>
        <v/>
      </c>
      <c r="BU71" s="179" t="str">
        <f>IF($O71=$BI$12,VLOOKUP($BO71,参照データ!$C$28:$I$41,7,0),"")</f>
        <v/>
      </c>
      <c r="BV71" s="178" t="str">
        <f>IF($J71=$BI$13,VLOOKUP($BO71,参照データ!$C$28:$I$41,2,0),"")</f>
        <v/>
      </c>
      <c r="BW71" s="169" t="str">
        <f>IF($K71=$BI$13,VLOOKUP($BO71,参照データ!$C$28:$I$41,3,0),"")</f>
        <v/>
      </c>
      <c r="BX71" s="169" t="str">
        <f>IF($L71=$BI$13,VLOOKUP($BO71,参照データ!$C$28:$I$41,4,0),"")</f>
        <v/>
      </c>
      <c r="BY71" s="169" t="str">
        <f>IF($M71=$BI$13,VLOOKUP($BO71,参照データ!$C$28:$I$41,5,0),"")</f>
        <v/>
      </c>
      <c r="BZ71" s="169" t="str">
        <f>IF($N71=$BI$13,VLOOKUP($BO71,参照データ!$C$28:$I$41,6,0),"")</f>
        <v/>
      </c>
      <c r="CA71" s="179" t="str">
        <f>IF($O71=$BI$13,VLOOKUP($BO71,参照データ!$C$28:$I$41,7,0),"")</f>
        <v/>
      </c>
      <c r="CB71" s="271" t="str">
        <f t="shared" si="26"/>
        <v/>
      </c>
      <c r="CC71" s="177" t="str">
        <f>IF($Q71="入門",VLOOKUP($BO71,参照データ!$C$47:$U$60,2,0),IF($Q71="初級",VLOOKUP($BO71,参照データ!$C$47:$U$60,3,0),IF($Q71="中級",VLOOKUP($BO71,参照データ!$C$47:$U$60,4,0),IF($Q71="上級",VLOOKUP($BO71,参照データ!$C$47:$U$60,5,0),""))))</f>
        <v/>
      </c>
      <c r="CD71" s="177" t="str">
        <f>IF($R71="初級",VLOOKUP($BO71,参照データ!$C$47:$U$60,6,0),IF($R71="中級",VLOOKUP($BO71,参照データ!$C$47:$U$60,7,0),IF($R71="上級",VLOOKUP($BO71,参照データ!$C$47:$U$60,8,0),"")))</f>
        <v/>
      </c>
      <c r="CE71" s="177" t="str">
        <f>IF($S71="初級",VLOOKUP($BO71,参照データ!$C$47:$U$60,9,0),IF($S71="上級",VLOOKUP($BO71,参照データ!$C$47:$U$60,10,0),""))</f>
        <v/>
      </c>
      <c r="CF71" s="177" t="str">
        <f>IF($T71="初級",VLOOKUP($BO71,参照データ!$C$47:$U$60,11,0),IF($T71="中級",VLOOKUP($BO71,参照データ!$C$47:$U$60,12,0),IF($T71="上級",VLOOKUP($BO71,参照データ!$C$47:$U$60,13,0),"")))</f>
        <v/>
      </c>
      <c r="CG71" s="177" t="str">
        <f>IF($U71="初級",VLOOKUP($BO71,参照データ!$C$47:$U$60,14,0),IF($U71="中級",VLOOKUP($BO71,参照データ!$C$47:$U$60,15,0),IF($U71="上級",VLOOKUP($BO71,参照データ!$C$47:$U$60,16,0),"")))</f>
        <v/>
      </c>
      <c r="CH71" s="55" t="str">
        <f t="shared" si="5"/>
        <v/>
      </c>
      <c r="CI71" s="55" t="str">
        <f>IF($V71="初級",VLOOKUP($BO71,参照データ!$C$47:$U$60,17,0),IF($V71="中級",VLOOKUP($BO71,参照データ!$C$47:$U$60,18,0),IF($V71="上級",VLOOKUP($BO71,参照データ!$C$47:$U$60,19,0),"")))</f>
        <v/>
      </c>
      <c r="CJ71" s="926"/>
      <c r="CK71" s="75" t="s">
        <v>295</v>
      </c>
      <c r="CL71" s="150" t="str">
        <f t="shared" si="6"/>
        <v/>
      </c>
      <c r="CM71" s="872"/>
      <c r="CO71" s="61">
        <f>IF(AND($BJ71&gt;=参照データ!$C$71,$BJ71&lt;=参照データ!$C$69),1,IF(AND($BJ71&gt;=参照データ!$C$74,$BJ71&lt;=参照データ!$C$72),2,IF(AND($BJ71&gt;=参照データ!$C$77,$BJ71&lt;=参照データ!$C$75),3,IF(AND($BJ71&gt;=参照データ!$C$80,$BJ71&lt;=参照データ!$C$78),4,IF(AND($BJ71&gt;=参照データ!$C$83,$BJ71&lt;=参照データ!$C$81),5,IF(AND($BJ71&gt;0,$BJ71&lt;=参照データ!$C$84),6,""))))))</f>
        <v>5</v>
      </c>
      <c r="CP71" s="160" t="str">
        <f>IF($Y71="オープン",(VLOOKUP($CO71,参照データ!$D$69:$J$86,2,0)),"")</f>
        <v/>
      </c>
      <c r="CQ71" s="79" t="str">
        <f t="shared" si="27"/>
        <v/>
      </c>
      <c r="CR71" s="78" t="str">
        <f>IF($AA71="オープン",(VLOOKUP($CO71,参照データ!$D$69:$J$86,3,0)),"")</f>
        <v/>
      </c>
      <c r="CS71" s="79" t="str">
        <f t="shared" si="28"/>
        <v/>
      </c>
      <c r="CT71" s="78" t="str">
        <f>IF($AC71="オープン",(VLOOKUP($CO71,参照データ!$D$69:$J$86,4,0)),"")</f>
        <v/>
      </c>
      <c r="CU71" s="79" t="str">
        <f t="shared" si="29"/>
        <v/>
      </c>
      <c r="CV71" s="78" t="str">
        <f>IF($AE71="オープン",(VLOOKUP($CO71,参照データ!$D$69:$J$86,5,0)),"")</f>
        <v/>
      </c>
      <c r="CW71" s="79" t="str">
        <f t="shared" si="7"/>
        <v/>
      </c>
      <c r="CX71" s="78" t="str">
        <f>IF($AG71="オープン",(VLOOKUP($CO71,参照データ!$D$69:$J$86,6,0)),"")</f>
        <v/>
      </c>
      <c r="CY71" s="79" t="str">
        <f t="shared" si="30"/>
        <v/>
      </c>
      <c r="CZ71" s="38" t="str">
        <f t="shared" si="31"/>
        <v/>
      </c>
      <c r="DA71" s="37" t="str">
        <f t="shared" si="32"/>
        <v/>
      </c>
      <c r="DB71" s="79" t="str">
        <f t="shared" si="33"/>
        <v/>
      </c>
      <c r="DC71" s="892"/>
      <c r="DD71" s="89" t="s">
        <v>145</v>
      </c>
      <c r="DE71" s="86" t="str">
        <f t="shared" si="34"/>
        <v/>
      </c>
      <c r="DF71" s="860"/>
      <c r="DG71" s="350" t="str">
        <f t="shared" ref="DG71" si="160">$DG70</f>
        <v/>
      </c>
      <c r="DH71" s="523">
        <f>IF(AND($BJ71&gt;=参照データ!$C$130,$BJ71&lt;=参照データ!$C$128),1,IF(AND($BJ71&gt;=参照データ!$C$133,$BJ71&lt;=参照データ!$C$131),2,IF(AND($BJ71&gt;=参照データ!$C$139,$BJ71&lt;=参照データ!$C$137),3,IF(AND($BJ71&gt;0,$BJ71&lt;=参照データ!$C$140),4,""))))</f>
        <v>1</v>
      </c>
      <c r="DI71" s="523">
        <f t="shared" si="35"/>
        <v>7</v>
      </c>
      <c r="DJ71" s="523" t="str">
        <f t="shared" si="36"/>
        <v/>
      </c>
      <c r="DK71" s="524" t="str">
        <f>IF($AN71="","",IF(AND($AN71="○",$BK71="男子"),VLOOKUP($DI71,参照データ!$D$128:$J$145,3,FALSE),VLOOKUP($DH71,参照データ!$D$128:$J$145,3,FALSE)))</f>
        <v/>
      </c>
      <c r="DL71" s="525" t="str">
        <f t="shared" si="37"/>
        <v/>
      </c>
      <c r="DM71" s="524" t="str">
        <f>IF($AP71="","",IF(AND($AP71="○",$BK71="男子"),VLOOKUP($DI71,参照データ!$D$128:$J$145,4,FALSE),VLOOKUP($DH71,参照データ!$D$128:$J$145,4,FALSE)))</f>
        <v/>
      </c>
      <c r="DN71" s="525" t="str">
        <f t="shared" si="38"/>
        <v/>
      </c>
      <c r="DO71" s="524" t="str">
        <f>IF($AR71="","",IF(AND($AR71="○",$BK71="男子"),VLOOKUP($DI71,参照データ!$D$128:$J$145,5,FALSE),VLOOKUP($DH71,参照データ!$D$128:$J$145,5,FALSE)))</f>
        <v/>
      </c>
      <c r="DP71" s="525" t="str">
        <f t="shared" si="39"/>
        <v/>
      </c>
      <c r="DQ71" s="524" t="str">
        <f>IF($AT71="","",IF(AND($AT71="○",$BK71="男子"),VLOOKUP($DI71,参照データ!$D$128:$J$145,6,FALSE),VLOOKUP($DH71,参照データ!$D$128:$J$145,6,FALSE)))</f>
        <v/>
      </c>
      <c r="DR71" s="525" t="str">
        <f t="shared" si="40"/>
        <v/>
      </c>
      <c r="DS71" s="526" t="str">
        <f t="shared" si="41"/>
        <v/>
      </c>
      <c r="DT71" s="527" t="str">
        <f t="shared" si="42"/>
        <v/>
      </c>
      <c r="DU71" s="528" t="str">
        <f t="shared" si="43"/>
        <v/>
      </c>
      <c r="DV71" s="993"/>
      <c r="DW71" s="535" t="s">
        <v>145</v>
      </c>
      <c r="DX71" s="681" t="str">
        <f t="shared" si="92"/>
        <v/>
      </c>
      <c r="DY71" s="995"/>
      <c r="DZ71" s="593" t="str">
        <f>$DZ70</f>
        <v/>
      </c>
      <c r="EA71" s="526" t="str">
        <f t="shared" si="85"/>
        <v/>
      </c>
      <c r="EB71" s="527" t="str">
        <f t="shared" si="86"/>
        <v/>
      </c>
      <c r="EC71" s="528" t="str">
        <f t="shared" si="87"/>
        <v/>
      </c>
      <c r="ED71" s="993"/>
      <c r="EE71" s="535" t="s">
        <v>145</v>
      </c>
      <c r="EF71" s="535" t="str">
        <f t="shared" si="88"/>
        <v/>
      </c>
      <c r="EG71" s="681" t="str">
        <f>IF(SUM(EF70:EF71)&lt;24,"",IF(SUM(EF70:EF71)&gt;=36,3,2))</f>
        <v/>
      </c>
      <c r="EH71" s="995"/>
      <c r="EI71" s="527" t="str">
        <f>$EI70</f>
        <v/>
      </c>
      <c r="EJ71" s="555" t="str">
        <f t="shared" si="13"/>
        <v/>
      </c>
      <c r="EK71" s="556" t="str">
        <f t="shared" si="44"/>
        <v/>
      </c>
      <c r="EL71" s="847"/>
      <c r="EM71" s="563" t="s">
        <v>831</v>
      </c>
      <c r="EN71" s="564" t="str">
        <f t="shared" si="45"/>
        <v/>
      </c>
      <c r="EO71" s="850"/>
      <c r="EP71" s="555" t="str">
        <f t="shared" si="115"/>
        <v/>
      </c>
      <c r="EQ71" s="556" t="str">
        <f t="shared" si="46"/>
        <v/>
      </c>
      <c r="ER71" s="847"/>
      <c r="ES71" s="563" t="s">
        <v>831</v>
      </c>
      <c r="ET71" s="564" t="str">
        <f t="shared" si="47"/>
        <v/>
      </c>
      <c r="EU71" s="850"/>
      <c r="EV71" s="38" t="str">
        <f t="shared" si="116"/>
        <v/>
      </c>
      <c r="EW71" s="552" t="str">
        <f t="shared" si="48"/>
        <v/>
      </c>
      <c r="EX71" s="833"/>
      <c r="EY71" s="559" t="s">
        <v>851</v>
      </c>
      <c r="EZ71" s="560" t="str">
        <f t="shared" si="49"/>
        <v/>
      </c>
      <c r="FA71" s="835"/>
      <c r="FB71" t="str">
        <f>IF($FC71="","",DATEDIF($BJ71,参照データ!$D$19,"Y"))</f>
        <v/>
      </c>
      <c r="FC71" s="298" t="str">
        <f>IFERROR(IF($BK71="男子",VLOOKUP($FJ71,参照データ!$D$92:$E$118,2,0),$FJ71),0)</f>
        <v/>
      </c>
      <c r="FD71" s="92" t="str">
        <f>IF($Y71="選手権",(VLOOKUP($FC71,参照データ!$D$92:$K$121,3,0)),"")</f>
        <v/>
      </c>
      <c r="FE71" s="93" t="str">
        <f t="shared" si="117"/>
        <v/>
      </c>
      <c r="FF71" s="92" t="str">
        <f>IF($AA71="選手権",(VLOOKUP($FC71,参照データ!$D$92:$K$121,4,0)),"")</f>
        <v/>
      </c>
      <c r="FG71" s="93" t="str">
        <f t="shared" si="118"/>
        <v/>
      </c>
      <c r="FH71" s="92" t="str">
        <f>IF($AC71="選手権",(VLOOKUP($FC71,参照データ!$D$92:$K$121,5,0)),"")</f>
        <v/>
      </c>
      <c r="FI71" s="93" t="str">
        <f t="shared" si="119"/>
        <v/>
      </c>
      <c r="FJ71" s="61" t="str">
        <f>IF(AND($BJ71&gt;=参照データ!$C$94,$BJ71&lt;=参照データ!$C$92),1,IF(AND($BJ71&gt;=参照データ!$C$97,$BJ71&lt;=参照データ!$C$95),2,IF(AND($BJ71&gt;=参照データ!$C$103,$BJ71&lt;=参照データ!$C$101),3,IF(AND($BJ71&gt;=参照データ!$C$109,$BJ71&lt;=参照データ!$C$107),4,IF(AND($BJ71&gt;=参照データ!$C$115,$BJ71&lt;=参照データ!$C$113),5,IF(AND($BJ71&gt;0,$BJ71&lt;=参照データ!$C$116),6,""))))))</f>
        <v/>
      </c>
      <c r="FK71" s="92" t="str">
        <f>IF($AE71="選手権",(VLOOKUP($FJ71,参照データ!$D$92:$K$121,6,0)),"")</f>
        <v/>
      </c>
      <c r="FL71" s="93" t="str">
        <f t="shared" si="19"/>
        <v/>
      </c>
      <c r="FM71" s="92" t="str">
        <f>IF($AG71="選手権",(VLOOKUP($FJ71,参照データ!$D$92:$K$121,7,0)),"")</f>
        <v/>
      </c>
      <c r="FN71" s="93" t="str">
        <f t="shared" si="50"/>
        <v/>
      </c>
      <c r="FO71" s="38" t="str">
        <f t="shared" si="51"/>
        <v/>
      </c>
      <c r="FP71" s="37" t="str">
        <f t="shared" si="52"/>
        <v/>
      </c>
      <c r="FQ71" s="93" t="str">
        <f t="shared" si="53"/>
        <v/>
      </c>
      <c r="FR71" s="981"/>
      <c r="FS71" s="103" t="s">
        <v>145</v>
      </c>
      <c r="FT71" s="100" t="str">
        <f t="shared" si="120"/>
        <v/>
      </c>
      <c r="FU71" s="978"/>
      <c r="FV71" s="356" t="str">
        <f t="shared" si="156"/>
        <v/>
      </c>
      <c r="FY71" s="40">
        <f>(COUNTIF($J71:$O71,"&lt;&gt;"))*参照データ!$E$3</f>
        <v>0</v>
      </c>
      <c r="FZ71" s="267" t="str">
        <f>IF($P71="○",参照データ!$E$4,"")</f>
        <v/>
      </c>
      <c r="GA71" s="19">
        <f>(SUM(COUNTIF($Q71:$U71,{"入門","初級"}))*参照データ!$E$9)+(SUM(COUNTIF($Q71:$U71,{"中級","上級"})*参照データ!$E$10))</f>
        <v>0</v>
      </c>
      <c r="GB71" s="19">
        <f>IFERROR(VLOOKUP($V71,参照データ!$D$9:$J$11,7,0),0)</f>
        <v>0</v>
      </c>
      <c r="GC71" s="19">
        <f>((COUNTIF($Y71:$AG71,"オープン"))*参照データ!$E$12)</f>
        <v>0</v>
      </c>
      <c r="GD71" s="19" t="str">
        <f>(IF($AI71="オープン",参照データ!$J$12,""))</f>
        <v/>
      </c>
      <c r="GE71" s="19">
        <f>(COUNTIF($AN71:$AU71,"○")*参照データ!$E$22)</f>
        <v>0</v>
      </c>
      <c r="GF71" s="19">
        <f>(COUNTIF($AV71:$BA71,"○")*参照データ!$I$22)</f>
        <v>0</v>
      </c>
      <c r="GI71" s="19">
        <f>((COUNTIF($Y71:$AG71,"選手権"))*参照データ!$E$13)</f>
        <v>0</v>
      </c>
      <c r="GJ71" s="19" t="str">
        <f>(IF($AI71="選手権",参照データ!$J$13,""))</f>
        <v/>
      </c>
      <c r="GK71" s="106">
        <f t="array" ref="GK71">SUM(IF(ISERROR(FY71:GJ71),0,(FY71:GJ71)))</f>
        <v>0</v>
      </c>
      <c r="GL71" s="19"/>
      <c r="GM71" s="19">
        <f t="shared" si="54"/>
        <v>0</v>
      </c>
      <c r="GN71" s="19">
        <f t="shared" si="55"/>
        <v>0</v>
      </c>
      <c r="GO71" s="19">
        <f t="shared" si="56"/>
        <v>0</v>
      </c>
      <c r="GP71" s="19">
        <f t="shared" si="121"/>
        <v>0</v>
      </c>
      <c r="GQ71" s="19">
        <f t="shared" si="57"/>
        <v>0</v>
      </c>
      <c r="GR71" s="19">
        <f t="shared" si="58"/>
        <v>0</v>
      </c>
      <c r="GS71" s="19">
        <f t="shared" si="59"/>
        <v>0</v>
      </c>
      <c r="GT71" s="19">
        <f t="shared" si="60"/>
        <v>0</v>
      </c>
      <c r="GU71" s="19">
        <f t="shared" si="61"/>
        <v>0</v>
      </c>
      <c r="GV71" t="str">
        <f t="shared" si="122"/>
        <v/>
      </c>
      <c r="GW71" t="str">
        <f t="shared" si="62"/>
        <v/>
      </c>
      <c r="GX71" t="str">
        <f t="shared" si="123"/>
        <v/>
      </c>
      <c r="GY71" t="str">
        <f t="shared" si="63"/>
        <v/>
      </c>
      <c r="GZ71" t="str">
        <f t="shared" si="124"/>
        <v/>
      </c>
    </row>
    <row r="72" spans="1:208" ht="18.75" customHeight="1" x14ac:dyDescent="0.15">
      <c r="BP72" s="1" t="s">
        <v>462</v>
      </c>
      <c r="BQ72" s="1" t="s">
        <v>191</v>
      </c>
      <c r="BR72" s="1" t="s">
        <v>194</v>
      </c>
      <c r="BS72" s="1" t="s">
        <v>195</v>
      </c>
      <c r="BT72" s="1" t="s">
        <v>217</v>
      </c>
      <c r="BU72" s="1" t="s">
        <v>475</v>
      </c>
      <c r="BV72" s="1" t="s">
        <v>462</v>
      </c>
      <c r="BW72" s="1" t="s">
        <v>191</v>
      </c>
      <c r="BX72" s="1" t="s">
        <v>194</v>
      </c>
      <c r="BY72" s="1" t="s">
        <v>195</v>
      </c>
      <c r="BZ72" s="1" t="s">
        <v>217</v>
      </c>
      <c r="CA72" s="1" t="s">
        <v>475</v>
      </c>
      <c r="CB72" s="1" t="s">
        <v>542</v>
      </c>
      <c r="CC72" t="s">
        <v>693</v>
      </c>
      <c r="CP72" t="s">
        <v>963</v>
      </c>
      <c r="CQ72" s="1">
        <f>COUNTIF($CP$12:$CP$71,$CP72)</f>
        <v>0</v>
      </c>
      <c r="CS72" s="1"/>
      <c r="CU72" s="1"/>
      <c r="CW72" s="1"/>
      <c r="CY72" s="1"/>
      <c r="DZ72" t="str">
        <f t="shared" ref="DZ72:DZ76" si="161">IF(DY72="AP-IB-Jr","ジュニア",IF(DY72="AP-IB-Sr","シニア",""))</f>
        <v/>
      </c>
      <c r="EI72" t="str">
        <f t="shared" ref="EI72:EI135" si="162">IF(EH72="AP-IB-Jr","ジュニア",IF(EH72="AP-IB-Sr","シニア",""))</f>
        <v/>
      </c>
      <c r="EM72" s="851" t="s">
        <v>1149</v>
      </c>
      <c r="EN72" s="852"/>
      <c r="EO72" s="155">
        <f>COUNTIF($EO$11:$EO$71,EM72)</f>
        <v>0</v>
      </c>
      <c r="ES72" s="851" t="s">
        <v>1208</v>
      </c>
      <c r="ET72" s="852"/>
      <c r="EU72" s="155">
        <f>COUNTIF($EU$11:$EU$71,ES72)</f>
        <v>0</v>
      </c>
      <c r="EW72" s="567"/>
      <c r="EX72" s="833"/>
      <c r="EY72" s="568" t="s">
        <v>852</v>
      </c>
      <c r="EZ72" s="560" t="str">
        <f t="shared" si="49"/>
        <v/>
      </c>
      <c r="FA72" s="835"/>
      <c r="FD72" t="s">
        <v>968</v>
      </c>
      <c r="FE72" s="1">
        <f>COUNTIF($FD$12:$FD$71,$FD72)</f>
        <v>0</v>
      </c>
      <c r="FG72" s="1"/>
      <c r="FI72" s="1"/>
      <c r="FL72" s="1"/>
      <c r="FY72" s="19">
        <f>SUM(FY12:FY71)</f>
        <v>0</v>
      </c>
      <c r="FZ72" s="19">
        <f>SUM(FZ12:FZ71)</f>
        <v>0</v>
      </c>
      <c r="GA72" s="19">
        <f t="shared" ref="GA72:GC72" si="163">SUM(GA12:GA71)</f>
        <v>0</v>
      </c>
      <c r="GB72" s="19">
        <f t="shared" si="163"/>
        <v>0</v>
      </c>
      <c r="GC72" s="19">
        <f t="shared" si="163"/>
        <v>0</v>
      </c>
      <c r="GD72" s="19">
        <f t="shared" ref="GD72" si="164">SUM(GD12:GD71)</f>
        <v>0</v>
      </c>
      <c r="GE72" s="19">
        <f>SUM(GE12:GE71)</f>
        <v>0</v>
      </c>
      <c r="GF72" s="19">
        <f t="shared" ref="GF72:GH72" si="165">SUM(GF12:GF71)</f>
        <v>0</v>
      </c>
      <c r="GG72" s="19">
        <f t="shared" si="165"/>
        <v>0</v>
      </c>
      <c r="GH72" s="19">
        <f t="shared" si="165"/>
        <v>0</v>
      </c>
      <c r="GI72" s="19">
        <f t="shared" ref="GI72" si="166">SUM(GI12:GI71)</f>
        <v>0</v>
      </c>
      <c r="GJ72" s="19">
        <f t="shared" ref="GJ72" si="167">SUM(GJ12:GJ71)</f>
        <v>0</v>
      </c>
    </row>
    <row r="73" spans="1:208" ht="18.75" customHeight="1" x14ac:dyDescent="0.15">
      <c r="BP73" s="1">
        <f>COUNTIF($BP$12:$BP$71,$BP72)</f>
        <v>0</v>
      </c>
      <c r="BQ73" s="1">
        <f>COUNTIF($BQ$12:$BQ$71,$BQ72)</f>
        <v>0</v>
      </c>
      <c r="BR73" s="1">
        <f>COUNTIF($BR$12:$BR$71,$BR72)</f>
        <v>0</v>
      </c>
      <c r="BS73" s="1">
        <f>COUNTIF($BS$12:$BS$71,$BS72)</f>
        <v>0</v>
      </c>
      <c r="BT73" s="1">
        <f>COUNTIF($BT$12:$BT$71,$BT72)</f>
        <v>0</v>
      </c>
      <c r="BU73" s="1">
        <f>COUNTIF($BU$12:$BU$71,$BU72)</f>
        <v>0</v>
      </c>
      <c r="BV73" s="1">
        <f>COUNTIF($BV$12:$BV$71,$BV72)</f>
        <v>0</v>
      </c>
      <c r="BW73" s="1">
        <f>COUNTIF($BW$12:$BW$71,$BW72)</f>
        <v>0</v>
      </c>
      <c r="BX73" s="1">
        <f>COUNTIF($BX$12:$BX$71,$BX72)</f>
        <v>0</v>
      </c>
      <c r="BY73" s="1">
        <f>COUNTIF($BY$12:$BY$71,$BY72)</f>
        <v>0</v>
      </c>
      <c r="BZ73" s="1">
        <f>COUNTIF($BZ$12:$BZ$71,$BZ72)</f>
        <v>0</v>
      </c>
      <c r="CA73" s="1">
        <f>COUNTIF($CA$12:$CA$71,$CA72)</f>
        <v>0</v>
      </c>
      <c r="CB73" s="1">
        <f>SUM(CB12:CB71)</f>
        <v>0</v>
      </c>
      <c r="CC73" s="1">
        <f>COUNTIF($CC$12:$CC$71,$CC72)</f>
        <v>0</v>
      </c>
      <c r="CP73" t="s">
        <v>964</v>
      </c>
      <c r="CQ73" s="1">
        <f t="shared" ref="CQ73:CQ77" si="168">COUNTIF($CP$12:$CP$71,$CP73)</f>
        <v>0</v>
      </c>
      <c r="CR73" t="s">
        <v>878</v>
      </c>
      <c r="CS73" s="1">
        <f t="shared" ref="CS73" si="169">COUNTIF($CR$12:$CR$71,$CR73)</f>
        <v>0</v>
      </c>
      <c r="CT73" t="s">
        <v>879</v>
      </c>
      <c r="CU73" s="1">
        <f>COUNTIF($CT$12:$CT$71,$CT73)</f>
        <v>0</v>
      </c>
      <c r="CV73" t="s">
        <v>880</v>
      </c>
      <c r="CW73" s="1">
        <f t="shared" ref="CW73" si="170">COUNTIF($CV$12:$CV$71,$CV73)</f>
        <v>0</v>
      </c>
      <c r="CX73" t="s">
        <v>881</v>
      </c>
      <c r="CY73" s="1">
        <f>COUNTIF($CX$12:$CX$71,$CX73)</f>
        <v>0</v>
      </c>
      <c r="DF73" t="s">
        <v>882</v>
      </c>
      <c r="DG73" s="1">
        <f>COUNTIF($DF$12:$DF$71,$DF73)</f>
        <v>0</v>
      </c>
      <c r="DH73" s="1"/>
      <c r="DI73" s="1"/>
      <c r="DJ73" s="1"/>
      <c r="DK73" s="629" t="s">
        <v>1131</v>
      </c>
      <c r="DL73" s="630">
        <f t="shared" ref="DL73:DL78" si="171">COUNTIF($DK$12:$DK$71,$DK73)</f>
        <v>0</v>
      </c>
      <c r="DM73" s="629" t="s">
        <v>1141</v>
      </c>
      <c r="DN73" s="630">
        <f>COUNTIF($DM$12:$DM$71,$DM73)</f>
        <v>0</v>
      </c>
      <c r="DO73" s="629" t="s">
        <v>1147</v>
      </c>
      <c r="DP73" s="630">
        <f>COUNTIF($DO$12:$DO$71,$DO73)</f>
        <v>0</v>
      </c>
      <c r="DQ73" s="629" t="s">
        <v>1199</v>
      </c>
      <c r="DR73" s="630">
        <f>COUNTIF($DQ$12:$DQ$71,$DQ73)</f>
        <v>0</v>
      </c>
      <c r="DX73" t="s">
        <v>1201</v>
      </c>
      <c r="DY73">
        <f>COUNTIF($DY$12:$DY$71,$DX73)</f>
        <v>0</v>
      </c>
      <c r="DZ73" t="str">
        <f t="shared" si="161"/>
        <v/>
      </c>
      <c r="EG73" t="s">
        <v>1157</v>
      </c>
      <c r="EH73">
        <f>COUNTIF($EH$12:$EH$71,$EG73)</f>
        <v>0</v>
      </c>
      <c r="EI73" t="str">
        <f t="shared" si="162"/>
        <v/>
      </c>
      <c r="EO73" s="569">
        <f>SUM(EO72)</f>
        <v>0</v>
      </c>
      <c r="EU73" s="569">
        <f>SUM(EU72)</f>
        <v>0</v>
      </c>
      <c r="EW73" s="567"/>
      <c r="EX73" s="833"/>
      <c r="EY73" s="568" t="s">
        <v>853</v>
      </c>
      <c r="EZ73" s="560" t="str">
        <f t="shared" si="49"/>
        <v/>
      </c>
      <c r="FA73" s="835"/>
      <c r="FD73" t="s">
        <v>969</v>
      </c>
      <c r="FE73" s="1">
        <f t="shared" ref="FE73:FE81" si="172">COUNTIF($FD$12:$FD$71,$FD73)</f>
        <v>0</v>
      </c>
      <c r="FF73" t="s">
        <v>910</v>
      </c>
      <c r="FG73" s="1">
        <f>COUNTIF($FF$12:$FF$71,$FF73)</f>
        <v>0</v>
      </c>
      <c r="FH73" t="s">
        <v>911</v>
      </c>
      <c r="FI73" s="1">
        <f>COUNTIF($FH$12:$FH$71,$FH73)</f>
        <v>0</v>
      </c>
      <c r="FK73" t="s">
        <v>912</v>
      </c>
      <c r="FL73" s="1">
        <f>COUNTIF($FK$12:$FK$71,$FK73)</f>
        <v>0</v>
      </c>
      <c r="FM73" t="s">
        <v>913</v>
      </c>
      <c r="FN73" s="1">
        <f>COUNTIF($FM$12:$FM$71,$FM73)</f>
        <v>0</v>
      </c>
      <c r="FU73" t="s">
        <v>914</v>
      </c>
      <c r="FV73" s="1">
        <f>COUNTIF($FU$12:$FU$71,$FU73)</f>
        <v>0</v>
      </c>
      <c r="FY73" s="844">
        <f>SUM(FY72:GB72)</f>
        <v>0</v>
      </c>
      <c r="FZ73" s="844"/>
      <c r="GA73" s="844"/>
      <c r="GB73" s="844"/>
      <c r="GC73" s="844">
        <f>SUM(GC72:GD72)</f>
        <v>0</v>
      </c>
      <c r="GD73" s="844"/>
      <c r="GE73" s="844">
        <f>SUM(GE72:GG72)</f>
        <v>0</v>
      </c>
      <c r="GF73" s="844"/>
      <c r="GG73" s="844"/>
      <c r="GH73" s="615"/>
      <c r="GI73" s="891">
        <f>SUM(GI72:GJ72)</f>
        <v>0</v>
      </c>
      <c r="GJ73" s="891"/>
    </row>
    <row r="74" spans="1:208" ht="18.75" customHeight="1" x14ac:dyDescent="0.15">
      <c r="BP74" s="1" t="s">
        <v>463</v>
      </c>
      <c r="BQ74" s="1" t="s">
        <v>196</v>
      </c>
      <c r="BR74" s="1" t="s">
        <v>197</v>
      </c>
      <c r="BS74" s="1" t="s">
        <v>198</v>
      </c>
      <c r="BT74" s="1" t="s">
        <v>218</v>
      </c>
      <c r="BU74" s="1" t="s">
        <v>476</v>
      </c>
      <c r="BV74" s="1" t="s">
        <v>463</v>
      </c>
      <c r="BW74" s="1" t="s">
        <v>196</v>
      </c>
      <c r="BX74" s="1" t="s">
        <v>197</v>
      </c>
      <c r="BY74" s="1" t="s">
        <v>198</v>
      </c>
      <c r="BZ74" s="1" t="s">
        <v>218</v>
      </c>
      <c r="CA74" s="1" t="s">
        <v>476</v>
      </c>
      <c r="CC74" t="s">
        <v>694</v>
      </c>
      <c r="CP74" t="s">
        <v>965</v>
      </c>
      <c r="CQ74" s="1">
        <f t="shared" si="168"/>
        <v>0</v>
      </c>
      <c r="CR74" t="s">
        <v>884</v>
      </c>
      <c r="CS74" s="1">
        <f>COUNTIF($CR$12:$CR$71,$CR74)</f>
        <v>0</v>
      </c>
      <c r="CT74" t="s">
        <v>885</v>
      </c>
      <c r="CU74" s="1">
        <f>COUNTIF($CT$12:$CT$71,$CT74)</f>
        <v>0</v>
      </c>
      <c r="CV74" t="s">
        <v>886</v>
      </c>
      <c r="CW74" s="1">
        <f>COUNTIF($CV$12:$CV$71,$CV74)</f>
        <v>0</v>
      </c>
      <c r="CX74" t="s">
        <v>887</v>
      </c>
      <c r="CY74" s="1">
        <f>COUNTIF($CX$12:$CX$71,$CX74)</f>
        <v>0</v>
      </c>
      <c r="DF74" t="s">
        <v>888</v>
      </c>
      <c r="DG74" s="1">
        <f>COUNTIF($DF$12:$DF$71,$DF74)</f>
        <v>0</v>
      </c>
      <c r="DH74" s="1"/>
      <c r="DI74" s="1"/>
      <c r="DJ74" s="1"/>
      <c r="DK74" t="s">
        <v>1132</v>
      </c>
      <c r="DL74" s="539">
        <f t="shared" si="171"/>
        <v>0</v>
      </c>
      <c r="DM74" t="s">
        <v>1140</v>
      </c>
      <c r="DN74" s="539">
        <f t="shared" ref="DN74:DN77" si="173">COUNTIF($DM$12:$DM$71,$DM74)</f>
        <v>0</v>
      </c>
      <c r="DO74" t="s">
        <v>1146</v>
      </c>
      <c r="DP74" s="539">
        <f t="shared" ref="DP74:DP78" si="174">COUNTIF($DO$12:$DO$71,$DO74)</f>
        <v>0</v>
      </c>
      <c r="DQ74" t="s">
        <v>1188</v>
      </c>
      <c r="DR74" s="539">
        <f t="shared" ref="DR74:DR78" si="175">COUNTIF($DQ$12:$DQ$71,$DQ74)</f>
        <v>0</v>
      </c>
      <c r="DX74" t="s">
        <v>1202</v>
      </c>
      <c r="DY74">
        <f>COUNTIF($DY$12:$DY$71,$DX74)</f>
        <v>0</v>
      </c>
      <c r="DZ74" t="str">
        <f t="shared" si="161"/>
        <v/>
      </c>
      <c r="EG74" t="s">
        <v>1158</v>
      </c>
      <c r="EH74">
        <f>COUNTIF($EH$12:$EH$71,$EG74)</f>
        <v>0</v>
      </c>
      <c r="EI74" t="str">
        <f t="shared" si="162"/>
        <v/>
      </c>
      <c r="EX74" s="833"/>
      <c r="EY74" s="559" t="s">
        <v>779</v>
      </c>
      <c r="EZ74" s="1" t="str">
        <f t="shared" si="49"/>
        <v/>
      </c>
      <c r="FA74" s="835"/>
      <c r="FD74" t="s">
        <v>970</v>
      </c>
      <c r="FE74" s="1">
        <f t="shared" si="172"/>
        <v>0</v>
      </c>
      <c r="FF74" t="s">
        <v>921</v>
      </c>
      <c r="FG74" s="1">
        <f>COUNTIF($FF$12:$FF$71,$FF74)</f>
        <v>0</v>
      </c>
      <c r="FH74" t="s">
        <v>922</v>
      </c>
      <c r="FI74" s="1">
        <f>COUNTIF($FH$12:$FH$71,$FH74)</f>
        <v>0</v>
      </c>
      <c r="FK74" t="s">
        <v>923</v>
      </c>
      <c r="FL74" s="1">
        <f>COUNTIF($FK$12:$FK$71,$FK74)</f>
        <v>0</v>
      </c>
      <c r="FM74" t="s">
        <v>924</v>
      </c>
      <c r="FN74" s="1">
        <f>COUNTIF($FM$12:$FM$71,$FM74)</f>
        <v>0</v>
      </c>
      <c r="FU74" t="s">
        <v>925</v>
      </c>
      <c r="FV74" s="1">
        <f>COUNTIF($FU$12:$FU$71,$FU74)</f>
        <v>0</v>
      </c>
    </row>
    <row r="75" spans="1:208" ht="18.75" customHeight="1" x14ac:dyDescent="0.15">
      <c r="BJ75" s="1"/>
      <c r="BP75" s="1">
        <f>COUNTIF($BP$12:$BP$71,$BP74)</f>
        <v>0</v>
      </c>
      <c r="BQ75" s="1">
        <f>COUNTIF($BQ$12:$BQ$71,$BQ74)</f>
        <v>0</v>
      </c>
      <c r="BR75" s="1">
        <f>COUNTIF($BR$12:$BR$71,$BR74)</f>
        <v>0</v>
      </c>
      <c r="BS75" s="1">
        <f>COUNTIF($BS$12:$BS$71,$BS74)</f>
        <v>0</v>
      </c>
      <c r="BT75" s="1">
        <f>COUNTIF($BT$12:$BT$71,$BT74)</f>
        <v>0</v>
      </c>
      <c r="BU75" s="1">
        <f>COUNTIF($BU$12:$BU$71,$BU74)</f>
        <v>0</v>
      </c>
      <c r="BV75" s="1">
        <f>COUNTIF($BV$12:$BV$71,$BV74)</f>
        <v>0</v>
      </c>
      <c r="BW75" s="1">
        <f>COUNTIF($BW$12:$BW$71,$BW74)</f>
        <v>0</v>
      </c>
      <c r="BX75" s="1">
        <f>COUNTIF($BX$12:$BX$71,$BX74)</f>
        <v>0</v>
      </c>
      <c r="BY75" s="1">
        <f>COUNTIF($BY$12:$BY$71,$BY74)</f>
        <v>0</v>
      </c>
      <c r="BZ75" s="1">
        <f>COUNTIF($BZ$12:$BZ$71,$BZ74)</f>
        <v>0</v>
      </c>
      <c r="CA75" s="1">
        <f>COUNTIF($CA$12:$CA$71,$CA74)</f>
        <v>0</v>
      </c>
      <c r="CC75" s="1">
        <f>COUNTIF($CC$12:$CC$71,$CC74)</f>
        <v>0</v>
      </c>
      <c r="CP75" t="s">
        <v>966</v>
      </c>
      <c r="CQ75" s="1">
        <f t="shared" si="168"/>
        <v>0</v>
      </c>
      <c r="CR75" t="s">
        <v>889</v>
      </c>
      <c r="CS75" s="1">
        <f>COUNTIF($CR$12:$CR$71,$CR75)</f>
        <v>0</v>
      </c>
      <c r="CT75" t="s">
        <v>890</v>
      </c>
      <c r="CU75" s="1">
        <f t="shared" ref="CU75:CU77" si="176">COUNTIF($CT$12:$CT$71,$CT75)</f>
        <v>0</v>
      </c>
      <c r="CV75" t="s">
        <v>891</v>
      </c>
      <c r="CW75" s="1">
        <f>COUNTIF($CV$12:$CV$71,$CV75)</f>
        <v>0</v>
      </c>
      <c r="CX75" t="s">
        <v>892</v>
      </c>
      <c r="CY75" s="1">
        <f t="shared" ref="CY75:CY77" si="177">COUNTIF($CX$12:$CX$71,$CX75)</f>
        <v>0</v>
      </c>
      <c r="DF75" t="s">
        <v>893</v>
      </c>
      <c r="DG75" s="1">
        <f>COUNTIF($DF$12:$DF$71,$DF75)</f>
        <v>0</v>
      </c>
      <c r="DH75" s="1"/>
      <c r="DI75" s="1"/>
      <c r="DJ75" s="1"/>
      <c r="DK75" t="s">
        <v>1133</v>
      </c>
      <c r="DL75" s="539">
        <f t="shared" si="171"/>
        <v>0</v>
      </c>
      <c r="DM75" t="s">
        <v>1137</v>
      </c>
      <c r="DN75" s="539">
        <f t="shared" si="173"/>
        <v>0</v>
      </c>
      <c r="DO75" t="s">
        <v>1143</v>
      </c>
      <c r="DP75" s="539">
        <f t="shared" si="174"/>
        <v>0</v>
      </c>
      <c r="DQ75" t="s">
        <v>1190</v>
      </c>
      <c r="DR75" s="539">
        <f t="shared" si="175"/>
        <v>0</v>
      </c>
      <c r="DZ75" t="str">
        <f t="shared" si="161"/>
        <v/>
      </c>
      <c r="EI75" t="str">
        <f t="shared" si="162"/>
        <v/>
      </c>
      <c r="EN75" s="156">
        <f>COUNTIF($EN$12:$EN$71,"○")</f>
        <v>0</v>
      </c>
      <c r="ET75" s="156">
        <f>COUNTIF($ET$12:$ET$71,"○")</f>
        <v>0</v>
      </c>
      <c r="EX75" s="837"/>
      <c r="EY75" s="684" t="s">
        <v>781</v>
      </c>
      <c r="EZ75" s="685" t="str">
        <f t="shared" si="49"/>
        <v/>
      </c>
      <c r="FA75" s="839"/>
      <c r="FD75" t="s">
        <v>971</v>
      </c>
      <c r="FE75" s="1">
        <f t="shared" si="172"/>
        <v>0</v>
      </c>
      <c r="FF75" t="s">
        <v>927</v>
      </c>
      <c r="FG75" s="1">
        <f>COUNTIF($FF$12:$FF$71,$FF75)</f>
        <v>0</v>
      </c>
      <c r="FH75" t="s">
        <v>928</v>
      </c>
      <c r="FI75" s="1">
        <f t="shared" ref="FI75:FI81" si="178">COUNTIF($FH$12:$FH$71,$FH75)</f>
        <v>0</v>
      </c>
      <c r="FK75" t="s">
        <v>929</v>
      </c>
      <c r="FL75" s="1">
        <f>COUNTIF($FK$12:$FK$71,$FK75)</f>
        <v>0</v>
      </c>
      <c r="FM75" t="s">
        <v>930</v>
      </c>
      <c r="FN75" s="1">
        <f t="shared" ref="FN75:FN77" si="179">COUNTIF($FM$12:$FM$71,$FM75)</f>
        <v>0</v>
      </c>
      <c r="FU75" t="s">
        <v>931</v>
      </c>
      <c r="FV75" s="1">
        <f>COUNTIF($FU$12:$FU$71,$FU75)</f>
        <v>0</v>
      </c>
    </row>
    <row r="76" spans="1:208" ht="18.75" customHeight="1" x14ac:dyDescent="0.15">
      <c r="BI76" s="1"/>
      <c r="BJ76" s="1"/>
      <c r="BP76" s="1" t="s">
        <v>464</v>
      </c>
      <c r="BQ76" s="1" t="s">
        <v>192</v>
      </c>
      <c r="BR76" s="1" t="s">
        <v>199</v>
      </c>
      <c r="BS76" s="1" t="s">
        <v>200</v>
      </c>
      <c r="BT76" s="1" t="s">
        <v>219</v>
      </c>
      <c r="BU76" s="1" t="s">
        <v>477</v>
      </c>
      <c r="BV76" s="1" t="s">
        <v>464</v>
      </c>
      <c r="BW76" s="1" t="s">
        <v>192</v>
      </c>
      <c r="BX76" s="1" t="s">
        <v>199</v>
      </c>
      <c r="BY76" s="1" t="s">
        <v>200</v>
      </c>
      <c r="BZ76" s="1" t="s">
        <v>219</v>
      </c>
      <c r="CA76" s="1" t="s">
        <v>477</v>
      </c>
      <c r="CC76" t="s">
        <v>469</v>
      </c>
      <c r="CP76" t="s">
        <v>967</v>
      </c>
      <c r="CQ76" s="1">
        <f t="shared" si="168"/>
        <v>0</v>
      </c>
      <c r="CR76" t="s">
        <v>895</v>
      </c>
      <c r="CS76" s="1">
        <f>COUNTIF($CR$12:$CR$71,$CR76)</f>
        <v>0</v>
      </c>
      <c r="CT76" t="s">
        <v>896</v>
      </c>
      <c r="CU76" s="1">
        <f t="shared" si="176"/>
        <v>0</v>
      </c>
      <c r="CV76" t="s">
        <v>897</v>
      </c>
      <c r="CW76" s="1">
        <f>COUNTIF($CV$12:$CV$71,$CV76)</f>
        <v>0</v>
      </c>
      <c r="CX76" t="s">
        <v>898</v>
      </c>
      <c r="CY76" s="1">
        <f t="shared" si="177"/>
        <v>0</v>
      </c>
      <c r="DF76" t="s">
        <v>899</v>
      </c>
      <c r="DG76" s="1">
        <f>COUNTIF($DF$12:$DF$71,$DF76)</f>
        <v>0</v>
      </c>
      <c r="DH76" s="1"/>
      <c r="DI76" s="1"/>
      <c r="DJ76" s="1"/>
      <c r="DK76" t="s">
        <v>1134</v>
      </c>
      <c r="DL76" s="539">
        <f t="shared" si="171"/>
        <v>0</v>
      </c>
      <c r="DM76" t="s">
        <v>1138</v>
      </c>
      <c r="DN76" s="539">
        <f t="shared" si="173"/>
        <v>0</v>
      </c>
      <c r="DO76" t="s">
        <v>1144</v>
      </c>
      <c r="DP76" s="539">
        <f t="shared" si="174"/>
        <v>0</v>
      </c>
      <c r="DQ76" t="s">
        <v>1192</v>
      </c>
      <c r="DR76" s="539">
        <f t="shared" si="175"/>
        <v>0</v>
      </c>
      <c r="DZ76" t="str">
        <f t="shared" si="161"/>
        <v/>
      </c>
      <c r="EI76" t="str">
        <f t="shared" si="162"/>
        <v/>
      </c>
      <c r="EY76" s="842" t="s">
        <v>859</v>
      </c>
      <c r="EZ76" s="843"/>
      <c r="FA76" s="155">
        <f>COUNTIF($FA$11:$FA$75,EY76)</f>
        <v>0</v>
      </c>
      <c r="FD76" t="s">
        <v>972</v>
      </c>
      <c r="FE76" s="1">
        <f t="shared" si="172"/>
        <v>0</v>
      </c>
      <c r="FF76" t="s">
        <v>933</v>
      </c>
      <c r="FG76" s="1">
        <f t="shared" ref="FG76:FG81" si="180">COUNTIF($FF$12:$FF$71,$FF76)</f>
        <v>0</v>
      </c>
      <c r="FH76" t="s">
        <v>934</v>
      </c>
      <c r="FI76" s="1">
        <f t="shared" si="178"/>
        <v>0</v>
      </c>
      <c r="FK76" t="s">
        <v>935</v>
      </c>
      <c r="FL76" s="1">
        <f>COUNTIF($FK$12:$FK$71,$FK76)</f>
        <v>0</v>
      </c>
      <c r="FM76" t="s">
        <v>936</v>
      </c>
      <c r="FN76" s="1">
        <f t="shared" si="179"/>
        <v>0</v>
      </c>
      <c r="FU76" t="s">
        <v>937</v>
      </c>
      <c r="FV76" s="1">
        <f>COUNTIF($FU$12:$FU$71,$FU76)</f>
        <v>0</v>
      </c>
    </row>
    <row r="77" spans="1:208" ht="18.75" customHeight="1" x14ac:dyDescent="0.15">
      <c r="BP77" s="1">
        <f>COUNTIF($BP$12:$BP$71,$BP76)</f>
        <v>0</v>
      </c>
      <c r="BQ77" s="1">
        <f>COUNTIF($BQ$12:$BQ$71,$BQ76)</f>
        <v>0</v>
      </c>
      <c r="BR77" s="1">
        <f>COUNTIF($BR$12:$BR$71,$BR76)</f>
        <v>0</v>
      </c>
      <c r="BS77" s="1">
        <f>COUNTIF($BS$12:$BS$71,$BS76)</f>
        <v>0</v>
      </c>
      <c r="BT77" s="1">
        <f>COUNTIF($BT$12:$BT$71,$BT76)</f>
        <v>0</v>
      </c>
      <c r="BU77" s="1">
        <f>COUNTIF($BU$12:$BU$71,$BU76)</f>
        <v>0</v>
      </c>
      <c r="BV77" s="1">
        <f>COUNTIF($BV$12:$BV$71,$BV76)</f>
        <v>0</v>
      </c>
      <c r="BW77" s="1">
        <f>COUNTIF($BW$12:$BW$71,$BW76)</f>
        <v>0</v>
      </c>
      <c r="BX77" s="1">
        <f>COUNTIF($BX$12:$BX$71,$BX76)</f>
        <v>0</v>
      </c>
      <c r="BY77" s="1">
        <f>COUNTIF($BY$12:$BY$71,$BY76)</f>
        <v>0</v>
      </c>
      <c r="BZ77" s="1">
        <f>COUNTIF($BZ$12:$BZ$71,$BZ76)</f>
        <v>0</v>
      </c>
      <c r="CA77" s="1">
        <f>COUNTIF($CA$12:$CA$71,$CA76)</f>
        <v>0</v>
      </c>
      <c r="CC77" s="1">
        <f>COUNTIF($CC$12:$CC$71,$CC76)</f>
        <v>0</v>
      </c>
      <c r="CP77" t="s">
        <v>500</v>
      </c>
      <c r="CQ77" s="1">
        <f t="shared" si="168"/>
        <v>0</v>
      </c>
      <c r="CR77" t="s">
        <v>501</v>
      </c>
      <c r="CS77" s="1">
        <f>COUNTIF($CR$12:$CR$71,$CR77)</f>
        <v>0</v>
      </c>
      <c r="CT77" t="s">
        <v>502</v>
      </c>
      <c r="CU77" s="1">
        <f t="shared" si="176"/>
        <v>0</v>
      </c>
      <c r="CV77" t="s">
        <v>504</v>
      </c>
      <c r="CW77" s="1">
        <f>COUNTIF($CV$12:$CV$71,$CV77)</f>
        <v>0</v>
      </c>
      <c r="CX77" t="s">
        <v>505</v>
      </c>
      <c r="CY77" s="1">
        <f t="shared" si="177"/>
        <v>0</v>
      </c>
      <c r="DF77" t="s">
        <v>503</v>
      </c>
      <c r="DG77" s="1">
        <f>COUNTIF($DF$12:$DF$71,$DF77)</f>
        <v>0</v>
      </c>
      <c r="DH77" s="1"/>
      <c r="DI77" s="1"/>
      <c r="DJ77" s="1"/>
      <c r="DK77" s="629" t="s">
        <v>1135</v>
      </c>
      <c r="DL77" s="630">
        <f t="shared" si="171"/>
        <v>0</v>
      </c>
      <c r="DM77" s="629" t="s">
        <v>1142</v>
      </c>
      <c r="DN77" s="630">
        <f t="shared" si="173"/>
        <v>0</v>
      </c>
      <c r="DO77" s="629" t="s">
        <v>1148</v>
      </c>
      <c r="DP77" s="630">
        <f t="shared" si="174"/>
        <v>0</v>
      </c>
      <c r="DQ77" s="629" t="s">
        <v>1200</v>
      </c>
      <c r="DR77" s="630">
        <f t="shared" si="175"/>
        <v>0</v>
      </c>
      <c r="DZ77" t="str">
        <f t="shared" ref="DZ77:DZ138" si="181">IF(DY77="AP-IB-Jr","ジュニア",IF(DY77="AP-IB-Sr","シニア",""))</f>
        <v/>
      </c>
      <c r="EI77" t="str">
        <f t="shared" si="162"/>
        <v/>
      </c>
      <c r="EY77" s="156"/>
      <c r="EZ77" s="156"/>
      <c r="FA77" s="569">
        <f>SUM(FA76)</f>
        <v>0</v>
      </c>
      <c r="FD77" t="s">
        <v>973</v>
      </c>
      <c r="FE77" s="1">
        <f t="shared" si="172"/>
        <v>0</v>
      </c>
      <c r="FF77" t="s">
        <v>944</v>
      </c>
      <c r="FG77" s="1">
        <f t="shared" si="180"/>
        <v>0</v>
      </c>
      <c r="FH77" t="s">
        <v>945</v>
      </c>
      <c r="FI77" s="1">
        <f t="shared" si="178"/>
        <v>0</v>
      </c>
      <c r="FK77" t="s">
        <v>946</v>
      </c>
      <c r="FL77" s="1">
        <f>COUNTIF($FK$12:$FK$71,$FK77)</f>
        <v>0</v>
      </c>
      <c r="FM77" t="s">
        <v>947</v>
      </c>
      <c r="FN77" s="1">
        <f t="shared" si="179"/>
        <v>0</v>
      </c>
      <c r="FU77" t="s">
        <v>948</v>
      </c>
      <c r="FV77" s="1">
        <f>COUNTIF($FU$12:$FU$71,$FU77)</f>
        <v>0</v>
      </c>
    </row>
    <row r="78" spans="1:208" ht="18.75" customHeight="1" x14ac:dyDescent="0.15">
      <c r="BP78" s="1" t="s">
        <v>465</v>
      </c>
      <c r="BQ78" s="1" t="s">
        <v>193</v>
      </c>
      <c r="BR78" s="1" t="s">
        <v>201</v>
      </c>
      <c r="BS78" s="1" t="s">
        <v>202</v>
      </c>
      <c r="BT78" s="1" t="s">
        <v>220</v>
      </c>
      <c r="BU78" s="1" t="s">
        <v>478</v>
      </c>
      <c r="BV78" s="1" t="s">
        <v>465</v>
      </c>
      <c r="BW78" s="1" t="s">
        <v>193</v>
      </c>
      <c r="BX78" s="1" t="s">
        <v>201</v>
      </c>
      <c r="BY78" s="1" t="s">
        <v>202</v>
      </c>
      <c r="BZ78" s="1" t="s">
        <v>220</v>
      </c>
      <c r="CA78" s="1" t="s">
        <v>478</v>
      </c>
      <c r="CC78" t="s">
        <v>470</v>
      </c>
      <c r="CQ78" s="1"/>
      <c r="CS78" s="1"/>
      <c r="CU78" s="1"/>
      <c r="CW78" s="1"/>
      <c r="CY78" s="1"/>
      <c r="DG78" s="1"/>
      <c r="DH78" s="1"/>
      <c r="DI78" s="1"/>
      <c r="DJ78" s="1"/>
      <c r="DK78" t="s">
        <v>1136</v>
      </c>
      <c r="DL78" s="539">
        <f t="shared" si="171"/>
        <v>0</v>
      </c>
      <c r="DM78" t="s">
        <v>1139</v>
      </c>
      <c r="DN78" s="539">
        <f>COUNTIF($DM$12:$DM$71,$DM78)</f>
        <v>0</v>
      </c>
      <c r="DO78" t="s">
        <v>1145</v>
      </c>
      <c r="DP78" s="539">
        <f t="shared" si="174"/>
        <v>0</v>
      </c>
      <c r="DQ78" t="s">
        <v>1194</v>
      </c>
      <c r="DR78" s="539">
        <f t="shared" si="175"/>
        <v>0</v>
      </c>
      <c r="DZ78" t="str">
        <f t="shared" si="181"/>
        <v/>
      </c>
      <c r="EI78" t="str">
        <f t="shared" si="162"/>
        <v/>
      </c>
      <c r="EY78" s="1" t="s">
        <v>854</v>
      </c>
      <c r="EZ78" s="1">
        <f>COUNTIF($EZ$12:$EZ$75,"○")</f>
        <v>0</v>
      </c>
      <c r="FD78" t="s">
        <v>974</v>
      </c>
      <c r="FE78" s="1">
        <f t="shared" si="172"/>
        <v>0</v>
      </c>
      <c r="FF78" t="s">
        <v>916</v>
      </c>
      <c r="FG78" s="1">
        <f t="shared" si="180"/>
        <v>0</v>
      </c>
      <c r="FH78" t="s">
        <v>918</v>
      </c>
      <c r="FI78" s="1">
        <f t="shared" si="178"/>
        <v>0</v>
      </c>
    </row>
    <row r="79" spans="1:208" ht="18.75" customHeight="1" x14ac:dyDescent="0.15">
      <c r="BP79" s="1">
        <f>COUNTIF($BP$12:$BP$71,$BP78)</f>
        <v>0</v>
      </c>
      <c r="BQ79" s="1">
        <f>COUNTIF($BQ$12:$BQ$71,$BQ78)</f>
        <v>0</v>
      </c>
      <c r="BR79" s="1">
        <f>COUNTIF($BR$12:$BR$71,$BR78)</f>
        <v>0</v>
      </c>
      <c r="BS79" s="1">
        <f>COUNTIF($BS$12:$BS$71,$BS78)</f>
        <v>0</v>
      </c>
      <c r="BT79" s="1">
        <f>COUNTIF($BT$12:$BT$71,$BT78)</f>
        <v>0</v>
      </c>
      <c r="BU79" s="1">
        <f>COUNTIF($BU$12:$BU$71,$BU78)</f>
        <v>0</v>
      </c>
      <c r="BV79" s="1">
        <f>COUNTIF($BV$12:$BV$71,$BV78)</f>
        <v>0</v>
      </c>
      <c r="BW79" s="1">
        <f>COUNTIF($BW$12:$BW$71,$BW78)</f>
        <v>0</v>
      </c>
      <c r="BX79" s="1">
        <f>COUNTIF($BX$12:$BX$71,$BX78)</f>
        <v>0</v>
      </c>
      <c r="BY79" s="1">
        <f>COUNTIF($BY$12:$BY$71,$BY78)</f>
        <v>0</v>
      </c>
      <c r="BZ79" s="1">
        <f>COUNTIF($BZ$12:$BZ$71,$BZ78)</f>
        <v>0</v>
      </c>
      <c r="CA79" s="1">
        <f>COUNTIF($CA$12:$CA$71,$CA78)</f>
        <v>0</v>
      </c>
      <c r="CC79" s="1">
        <f>COUNTIF($CC$12:$CC$71,$CC78)</f>
        <v>0</v>
      </c>
      <c r="DZ79" t="str">
        <f t="shared" si="181"/>
        <v/>
      </c>
      <c r="EI79" t="str">
        <f t="shared" si="162"/>
        <v/>
      </c>
      <c r="FD79" t="s">
        <v>975</v>
      </c>
      <c r="FE79" s="1">
        <f>COUNTIF($FD$12:$FD$71,$FD79)</f>
        <v>0</v>
      </c>
      <c r="FF79" t="s">
        <v>951</v>
      </c>
      <c r="FG79" s="1">
        <f t="shared" si="180"/>
        <v>0</v>
      </c>
      <c r="FH79" t="s">
        <v>953</v>
      </c>
      <c r="FI79" s="1">
        <f t="shared" si="178"/>
        <v>0</v>
      </c>
    </row>
    <row r="80" spans="1:208" ht="18.75" customHeight="1" x14ac:dyDescent="0.15">
      <c r="BP80" s="1" t="s">
        <v>466</v>
      </c>
      <c r="BQ80" s="1" t="s">
        <v>203</v>
      </c>
      <c r="BR80" s="1" t="s">
        <v>204</v>
      </c>
      <c r="BS80" s="1" t="s">
        <v>205</v>
      </c>
      <c r="BT80" s="1" t="s">
        <v>221</v>
      </c>
      <c r="BU80" s="1" t="s">
        <v>479</v>
      </c>
      <c r="BV80" s="1" t="s">
        <v>466</v>
      </c>
      <c r="BW80" s="1" t="s">
        <v>203</v>
      </c>
      <c r="BX80" s="1" t="s">
        <v>204</v>
      </c>
      <c r="BY80" s="1" t="s">
        <v>205</v>
      </c>
      <c r="BZ80" s="1" t="s">
        <v>221</v>
      </c>
      <c r="CA80" s="1" t="s">
        <v>479</v>
      </c>
      <c r="CC80" t="s">
        <v>471</v>
      </c>
      <c r="DZ80" t="str">
        <f t="shared" si="181"/>
        <v/>
      </c>
      <c r="EI80" t="str">
        <f t="shared" si="162"/>
        <v/>
      </c>
      <c r="FD80" t="s">
        <v>976</v>
      </c>
      <c r="FE80" s="1">
        <f t="shared" si="172"/>
        <v>0</v>
      </c>
      <c r="FF80" t="s">
        <v>939</v>
      </c>
      <c r="FG80" s="1">
        <f t="shared" si="180"/>
        <v>0</v>
      </c>
      <c r="FH80" t="s">
        <v>941</v>
      </c>
      <c r="FI80" s="1">
        <f t="shared" si="178"/>
        <v>0</v>
      </c>
    </row>
    <row r="81" spans="39:166" ht="18.75" customHeight="1" x14ac:dyDescent="0.15">
      <c r="BP81" s="1">
        <f>COUNTIF($BP$12:$BP$71,$BP80)</f>
        <v>0</v>
      </c>
      <c r="BQ81" s="1">
        <f>COUNTIF($BQ$12:$BQ$71,$BQ80)</f>
        <v>0</v>
      </c>
      <c r="BR81" s="1">
        <f>COUNTIF($BR$12:$BR$71,$BR80)</f>
        <v>0</v>
      </c>
      <c r="BS81" s="1">
        <f>COUNTIF($BS$12:$BS$71,$BS80)</f>
        <v>0</v>
      </c>
      <c r="BT81" s="1">
        <f>COUNTIF($BT$12:$BT$71,$BT80)</f>
        <v>0</v>
      </c>
      <c r="BU81" s="1">
        <f>COUNTIF($BU$12:$BU$71,$BU80)</f>
        <v>0</v>
      </c>
      <c r="BV81" s="1">
        <f>COUNTIF($BV$12:$BV$71,$BV80)</f>
        <v>0</v>
      </c>
      <c r="BW81" s="1">
        <f>COUNTIF($BW$12:$BW$71,$BW80)</f>
        <v>0</v>
      </c>
      <c r="BX81" s="1">
        <f>COUNTIF($BX$12:$BX$71,$BX80)</f>
        <v>0</v>
      </c>
      <c r="BY81" s="1">
        <f>COUNTIF($BY$12:$BY$71,$BY80)</f>
        <v>0</v>
      </c>
      <c r="BZ81" s="1">
        <f>COUNTIF($BZ$12:$BZ$71,$BZ80)</f>
        <v>0</v>
      </c>
      <c r="CA81" s="1">
        <f>COUNTIF($CA$12:$CA$71,$CA80)</f>
        <v>0</v>
      </c>
      <c r="CC81" s="1">
        <f>COUNTIF($CC$12:$CC$71,$CC80)</f>
        <v>0</v>
      </c>
      <c r="DZ81" t="str">
        <f t="shared" si="181"/>
        <v/>
      </c>
      <c r="EI81" t="str">
        <f t="shared" si="162"/>
        <v/>
      </c>
      <c r="FD81" t="s">
        <v>977</v>
      </c>
      <c r="FE81" s="1">
        <f t="shared" si="172"/>
        <v>0</v>
      </c>
      <c r="FF81" t="s">
        <v>978</v>
      </c>
      <c r="FG81" s="1">
        <f t="shared" si="180"/>
        <v>0</v>
      </c>
      <c r="FH81" t="s">
        <v>979</v>
      </c>
      <c r="FI81" s="1">
        <f t="shared" si="178"/>
        <v>0</v>
      </c>
    </row>
    <row r="82" spans="39:166" ht="18.75" customHeight="1" x14ac:dyDescent="0.15">
      <c r="BP82" s="1" t="s">
        <v>467</v>
      </c>
      <c r="BQ82" s="1" t="s">
        <v>206</v>
      </c>
      <c r="BR82" s="1" t="s">
        <v>207</v>
      </c>
      <c r="BS82" s="1" t="s">
        <v>208</v>
      </c>
      <c r="BT82" s="1" t="s">
        <v>222</v>
      </c>
      <c r="BU82" s="1" t="s">
        <v>480</v>
      </c>
      <c r="BV82" s="1" t="s">
        <v>467</v>
      </c>
      <c r="BW82" s="1" t="s">
        <v>206</v>
      </c>
      <c r="BX82" s="1" t="s">
        <v>207</v>
      </c>
      <c r="BY82" s="1" t="s">
        <v>208</v>
      </c>
      <c r="BZ82" s="1" t="s">
        <v>222</v>
      </c>
      <c r="CA82" s="1" t="s">
        <v>480</v>
      </c>
      <c r="CC82" t="s">
        <v>389</v>
      </c>
      <c r="DZ82" t="str">
        <f t="shared" si="181"/>
        <v/>
      </c>
      <c r="EI82" t="str">
        <f t="shared" si="162"/>
        <v/>
      </c>
    </row>
    <row r="83" spans="39:166" ht="18.75" customHeight="1" x14ac:dyDescent="0.15">
      <c r="AM83" s="155"/>
      <c r="BB83" s="155"/>
      <c r="BC83" s="155"/>
      <c r="BD83" s="155"/>
      <c r="BE83" s="155"/>
      <c r="BP83" s="1">
        <f>COUNTIF($BP$12:$BP$71,$BP82)</f>
        <v>0</v>
      </c>
      <c r="BQ83" s="1">
        <f>COUNTIF($BQ$12:$BQ$71,$BQ82)</f>
        <v>0</v>
      </c>
      <c r="BR83" s="1">
        <f>COUNTIF($BR$12:$BR$71,$BR82)</f>
        <v>0</v>
      </c>
      <c r="BS83" s="1">
        <f>COUNTIF($BS$12:$BS$71,$BS82)</f>
        <v>0</v>
      </c>
      <c r="BT83" s="1">
        <f>COUNTIF($BT$12:$BT$71,$BT82)</f>
        <v>0</v>
      </c>
      <c r="BU83" s="1">
        <f>COUNTIF($BU$12:$BU$71,$BU82)</f>
        <v>0</v>
      </c>
      <c r="BV83" s="1">
        <f>COUNTIF($BV$12:$BV$71,$BV82)</f>
        <v>0</v>
      </c>
      <c r="BW83" s="1">
        <f>COUNTIF($BW$12:$BW$71,$BW82)</f>
        <v>0</v>
      </c>
      <c r="BX83" s="1">
        <f>COUNTIF($BX$12:$BX$71,$BX82)</f>
        <v>0</v>
      </c>
      <c r="BY83" s="1">
        <f>COUNTIF($BY$12:$BY$71,$BY82)</f>
        <v>0</v>
      </c>
      <c r="BZ83" s="1">
        <f>COUNTIF($BZ$12:$BZ$71,$BZ82)</f>
        <v>0</v>
      </c>
      <c r="CA83" s="1">
        <f>COUNTIF($CA$12:$CA$71,$CA82)</f>
        <v>0</v>
      </c>
      <c r="CC83" s="1">
        <f>COUNTIF($CC$12:$CC$71,$CC82)</f>
        <v>0</v>
      </c>
      <c r="CD83" s="1"/>
      <c r="CE83" s="1"/>
      <c r="CF83" s="1"/>
      <c r="CG83" s="1"/>
      <c r="CM83" s="1"/>
      <c r="CO83" s="155"/>
      <c r="DZ83" t="str">
        <f t="shared" si="181"/>
        <v/>
      </c>
      <c r="EI83" t="str">
        <f t="shared" si="162"/>
        <v/>
      </c>
      <c r="EM83" s="155"/>
      <c r="EN83" s="155"/>
      <c r="ES83" s="155"/>
      <c r="ET83" s="155"/>
      <c r="FC83" s="155"/>
      <c r="FJ83" s="155"/>
    </row>
    <row r="84" spans="39:166" ht="18.75" customHeight="1" x14ac:dyDescent="0.15">
      <c r="AM84" s="155"/>
      <c r="BB84" s="155"/>
      <c r="BC84" s="155"/>
      <c r="BD84" s="155"/>
      <c r="BE84" s="155"/>
      <c r="CC84" t="s">
        <v>695</v>
      </c>
      <c r="CO84" s="155"/>
      <c r="DZ84" t="str">
        <f t="shared" si="181"/>
        <v/>
      </c>
      <c r="EI84" t="str">
        <f t="shared" si="162"/>
        <v/>
      </c>
      <c r="EM84" s="155"/>
      <c r="EN84" s="155"/>
      <c r="ES84" s="155"/>
      <c r="ET84" s="155"/>
      <c r="FC84" s="155"/>
      <c r="FJ84" s="155"/>
    </row>
    <row r="85" spans="39:166" ht="18.75" customHeight="1" x14ac:dyDescent="0.15">
      <c r="AM85" s="155"/>
      <c r="BB85" s="155"/>
      <c r="BC85" s="155"/>
      <c r="BD85" s="155"/>
      <c r="BE85" s="155"/>
      <c r="CC85" s="1">
        <f>COUNTIF($CC$12:$CC$71,$CC84)</f>
        <v>0</v>
      </c>
      <c r="CO85" s="155"/>
      <c r="DZ85" t="str">
        <f t="shared" si="181"/>
        <v/>
      </c>
      <c r="EI85" t="str">
        <f t="shared" si="162"/>
        <v/>
      </c>
      <c r="EM85" s="155"/>
      <c r="EN85" s="155"/>
      <c r="ES85" s="155"/>
      <c r="ET85" s="155"/>
      <c r="FC85" s="155"/>
      <c r="FJ85" s="155"/>
    </row>
    <row r="86" spans="39:166" ht="18.75" customHeight="1" x14ac:dyDescent="0.15">
      <c r="AM86" s="155"/>
      <c r="BB86" s="155"/>
      <c r="BC86" s="155"/>
      <c r="BD86" s="155"/>
      <c r="BE86" s="155"/>
      <c r="CC86" t="s">
        <v>696</v>
      </c>
      <c r="CD86" t="s">
        <v>697</v>
      </c>
      <c r="CE86" t="s">
        <v>698</v>
      </c>
      <c r="CF86" t="s">
        <v>699</v>
      </c>
      <c r="CG86" t="s">
        <v>700</v>
      </c>
      <c r="CM86" t="s">
        <v>550</v>
      </c>
      <c r="CO86" s="155"/>
      <c r="DZ86" t="str">
        <f t="shared" si="181"/>
        <v/>
      </c>
      <c r="EI86" t="str">
        <f t="shared" si="162"/>
        <v/>
      </c>
      <c r="EM86" s="155"/>
      <c r="EN86" s="155"/>
      <c r="ES86" s="155"/>
      <c r="ET86" s="155"/>
      <c r="FA86" t="e">
        <f>COUNTIF($FA$12:$FA$73,$EY$76)/COUNTIF($EZ$12:$EZ$73,"○")</f>
        <v>#DIV/0!</v>
      </c>
      <c r="FC86" s="155"/>
      <c r="FJ86" s="155"/>
    </row>
    <row r="87" spans="39:166" ht="18.75" customHeight="1" x14ac:dyDescent="0.15">
      <c r="AM87" s="155"/>
      <c r="BB87" s="155"/>
      <c r="BC87" s="155"/>
      <c r="BD87" s="155"/>
      <c r="BE87" s="155"/>
      <c r="CC87" s="1">
        <f>COUNTIF($CC$12:$CC$71,$CC86)</f>
        <v>0</v>
      </c>
      <c r="CD87" s="1">
        <f>COUNTIF($CD$12:$CD$71,$CD86)</f>
        <v>0</v>
      </c>
      <c r="CE87" s="1">
        <f>COUNTIF($CE$12:$CE$71,$CE86)</f>
        <v>0</v>
      </c>
      <c r="CF87" s="1">
        <f>COUNTIF($CF$12:$CF$71,$CF86)</f>
        <v>0</v>
      </c>
      <c r="CG87" s="1">
        <f>COUNTIF($CG$12:$CG$71,$CG86)</f>
        <v>0</v>
      </c>
      <c r="CM87" s="1">
        <f>COUNTIF($CM$12:$CM$71,$CM86)</f>
        <v>0</v>
      </c>
      <c r="CO87" s="155"/>
      <c r="DZ87" t="str">
        <f t="shared" si="181"/>
        <v/>
      </c>
      <c r="EI87" t="str">
        <f t="shared" si="162"/>
        <v/>
      </c>
      <c r="EM87" s="155"/>
      <c r="EN87" s="155"/>
      <c r="ES87" s="155"/>
      <c r="ET87" s="155"/>
      <c r="FA87" t="e">
        <f>COUNTIF($FA$44:$FA$75,$EY$76)/COUNTIF($EZ$74:$EZ$75,"○")</f>
        <v>#DIV/0!</v>
      </c>
      <c r="FC87" s="155"/>
      <c r="FJ87" s="155"/>
    </row>
    <row r="88" spans="39:166" ht="18.75" customHeight="1" x14ac:dyDescent="0.15">
      <c r="AM88" s="155"/>
      <c r="BB88" s="155"/>
      <c r="BC88" s="155"/>
      <c r="BD88" s="155"/>
      <c r="BE88" s="155"/>
      <c r="CC88" t="s">
        <v>390</v>
      </c>
      <c r="CD88" t="s">
        <v>402</v>
      </c>
      <c r="CE88" t="s">
        <v>414</v>
      </c>
      <c r="CF88" t="s">
        <v>434</v>
      </c>
      <c r="CG88" t="s">
        <v>446</v>
      </c>
      <c r="CM88" t="s">
        <v>422</v>
      </c>
      <c r="CO88" s="155"/>
      <c r="DZ88" t="str">
        <f t="shared" si="181"/>
        <v/>
      </c>
      <c r="EI88" t="str">
        <f t="shared" si="162"/>
        <v/>
      </c>
      <c r="EM88" s="155"/>
      <c r="EN88" s="155"/>
      <c r="ES88" s="155"/>
      <c r="ET88" s="155"/>
      <c r="FC88" s="155"/>
      <c r="FJ88" s="155"/>
    </row>
    <row r="89" spans="39:166" ht="18.75" customHeight="1" x14ac:dyDescent="0.15">
      <c r="AM89" s="155"/>
      <c r="BB89" s="155"/>
      <c r="BC89" s="155"/>
      <c r="BD89" s="155"/>
      <c r="BE89" s="155"/>
      <c r="CC89" s="1">
        <f>COUNTIF($CC$12:$CC$71,$CC88)</f>
        <v>0</v>
      </c>
      <c r="CD89" s="1">
        <f>COUNTIF($CD$12:$CD$71,$CD88)</f>
        <v>0</v>
      </c>
      <c r="CE89" s="1">
        <f>COUNTIF($CE$12:$CE$71,$CE88)</f>
        <v>0</v>
      </c>
      <c r="CF89" s="1">
        <f>COUNTIF($CF$12:$CF$71,$CF88)</f>
        <v>0</v>
      </c>
      <c r="CG89" s="1">
        <f>COUNTIF($CG$12:$CG$71,$CG88)</f>
        <v>0</v>
      </c>
      <c r="CM89" s="1">
        <f>COUNTIF($CM$12:$CM$71,$CM88)</f>
        <v>0</v>
      </c>
      <c r="CO89" s="155"/>
      <c r="DZ89" t="str">
        <f t="shared" si="181"/>
        <v/>
      </c>
      <c r="EI89" t="str">
        <f t="shared" si="162"/>
        <v/>
      </c>
      <c r="EM89" s="155"/>
      <c r="EN89" s="155"/>
      <c r="ES89" s="155"/>
      <c r="ET89" s="155"/>
      <c r="FC89" s="155"/>
      <c r="FJ89" s="155"/>
    </row>
    <row r="90" spans="39:166" ht="18.75" customHeight="1" x14ac:dyDescent="0.15">
      <c r="AM90" s="155"/>
      <c r="BB90" s="155"/>
      <c r="BC90" s="155"/>
      <c r="BD90" s="155"/>
      <c r="BE90" s="155"/>
      <c r="CC90" t="s">
        <v>391</v>
      </c>
      <c r="CD90" t="s">
        <v>405</v>
      </c>
      <c r="CE90" t="s">
        <v>416</v>
      </c>
      <c r="CF90" t="s">
        <v>437</v>
      </c>
      <c r="CG90" t="s">
        <v>449</v>
      </c>
      <c r="CM90" t="s">
        <v>425</v>
      </c>
      <c r="CO90" s="155"/>
      <c r="DZ90" t="str">
        <f t="shared" si="181"/>
        <v/>
      </c>
      <c r="EI90" t="str">
        <f t="shared" si="162"/>
        <v/>
      </c>
      <c r="EM90" s="155"/>
      <c r="EN90" s="155"/>
      <c r="ES90" s="155"/>
      <c r="ET90" s="155"/>
      <c r="FC90" s="155"/>
      <c r="FJ90" s="155"/>
    </row>
    <row r="91" spans="39:166" ht="18.75" customHeight="1" x14ac:dyDescent="0.15">
      <c r="AM91" s="155"/>
      <c r="BB91" s="155"/>
      <c r="BC91" s="155"/>
      <c r="BD91" s="155"/>
      <c r="BE91" s="155"/>
      <c r="CC91" s="1">
        <f>COUNTIF($CC$12:$CC$71,$CC90)</f>
        <v>0</v>
      </c>
      <c r="CD91" s="1">
        <f>COUNTIF($CD$12:$CD$71,$CD90)</f>
        <v>0</v>
      </c>
      <c r="CE91" s="1">
        <f>COUNTIF($CE$12:$CE$71,$CE90)</f>
        <v>0</v>
      </c>
      <c r="CF91" s="1">
        <f>COUNTIF($CF$12:$CF$71,$CF90)</f>
        <v>0</v>
      </c>
      <c r="CG91" s="1">
        <f>COUNTIF($CG$12:$CG$71,$CG90)</f>
        <v>0</v>
      </c>
      <c r="CM91" s="1">
        <f>COUNTIF($CM$12:$CM$71,$CM90)</f>
        <v>0</v>
      </c>
      <c r="CO91" s="155"/>
      <c r="DZ91" t="str">
        <f t="shared" si="181"/>
        <v/>
      </c>
      <c r="EI91" t="str">
        <f t="shared" si="162"/>
        <v/>
      </c>
      <c r="EM91" s="155"/>
      <c r="EN91" s="155"/>
      <c r="ES91" s="155"/>
      <c r="ET91" s="155"/>
      <c r="FC91" s="155"/>
      <c r="FJ91" s="155"/>
    </row>
    <row r="92" spans="39:166" ht="18.75" customHeight="1" x14ac:dyDescent="0.15">
      <c r="CC92" t="s">
        <v>392</v>
      </c>
      <c r="CD92" t="s">
        <v>408</v>
      </c>
      <c r="CE92" t="s">
        <v>418</v>
      </c>
      <c r="CF92" t="s">
        <v>440</v>
      </c>
      <c r="CG92" t="s">
        <v>452</v>
      </c>
      <c r="CM92" t="s">
        <v>428</v>
      </c>
      <c r="DZ92" t="str">
        <f t="shared" si="181"/>
        <v/>
      </c>
      <c r="EI92" t="str">
        <f t="shared" si="162"/>
        <v/>
      </c>
    </row>
    <row r="93" spans="39:166" ht="18.75" customHeight="1" x14ac:dyDescent="0.15">
      <c r="CC93" s="1">
        <f>COUNTIF($CC$12:$CC$71,$CC92)</f>
        <v>0</v>
      </c>
      <c r="CD93" s="1">
        <f>COUNTIF($CD$12:$CD$71,$CD92)</f>
        <v>0</v>
      </c>
      <c r="CE93" s="1">
        <f>COUNTIF($CE$12:$CE$71,$CE92)</f>
        <v>0</v>
      </c>
      <c r="CF93" s="1">
        <f>COUNTIF($CF$12:$CF$71,$CF92)</f>
        <v>0</v>
      </c>
      <c r="CG93" s="1">
        <f>COUNTIF($CG$12:$CG$71,$CG92)</f>
        <v>0</v>
      </c>
      <c r="CM93" s="1">
        <f>COUNTIF($CM$12:$CM$71,$CM92)</f>
        <v>0</v>
      </c>
      <c r="DZ93" t="str">
        <f t="shared" si="181"/>
        <v/>
      </c>
      <c r="EI93" t="str">
        <f t="shared" si="162"/>
        <v/>
      </c>
    </row>
    <row r="94" spans="39:166" ht="18.75" customHeight="1" x14ac:dyDescent="0.15">
      <c r="CC94" t="s">
        <v>393</v>
      </c>
      <c r="CD94" t="s">
        <v>411</v>
      </c>
      <c r="CE94" t="s">
        <v>420</v>
      </c>
      <c r="CF94" t="s">
        <v>443</v>
      </c>
      <c r="CG94" t="s">
        <v>455</v>
      </c>
      <c r="CM94" t="s">
        <v>431</v>
      </c>
      <c r="DZ94" t="str">
        <f t="shared" si="181"/>
        <v/>
      </c>
      <c r="EI94" t="str">
        <f t="shared" si="162"/>
        <v/>
      </c>
    </row>
    <row r="95" spans="39:166" ht="18.75" customHeight="1" x14ac:dyDescent="0.15">
      <c r="CC95" s="1">
        <f>COUNTIF($CC$12:$CC$71,$CC94)</f>
        <v>0</v>
      </c>
      <c r="CD95" s="1">
        <f>COUNTIF($CD$12:$CD$71,$CD94)</f>
        <v>0</v>
      </c>
      <c r="CE95" s="1">
        <f>COUNTIF($CE$12:$CE$71,$CE94)</f>
        <v>0</v>
      </c>
      <c r="CF95" s="1">
        <f>COUNTIF($CF$12:$CF$71,$CF94)</f>
        <v>0</v>
      </c>
      <c r="CG95" s="1">
        <f>COUNTIF($CG$12:$CG$71,$CG94)</f>
        <v>0</v>
      </c>
      <c r="CM95" s="1">
        <f>COUNTIF($CM$12:$CM$71,$CM94)</f>
        <v>0</v>
      </c>
      <c r="DZ95" t="str">
        <f t="shared" si="181"/>
        <v/>
      </c>
      <c r="EI95" t="str">
        <f t="shared" si="162"/>
        <v/>
      </c>
    </row>
    <row r="96" spans="39:166" ht="18.75" customHeight="1" x14ac:dyDescent="0.15">
      <c r="CC96" t="s">
        <v>701</v>
      </c>
      <c r="DZ96" t="str">
        <f t="shared" si="181"/>
        <v/>
      </c>
      <c r="EI96" t="str">
        <f t="shared" si="162"/>
        <v/>
      </c>
    </row>
    <row r="97" spans="81:139" ht="18.75" customHeight="1" x14ac:dyDescent="0.15">
      <c r="CC97" s="1">
        <f>COUNTIF($CC$12:$CC$71,$CC96)</f>
        <v>0</v>
      </c>
      <c r="DZ97" t="str">
        <f t="shared" si="181"/>
        <v/>
      </c>
      <c r="EI97" t="str">
        <f t="shared" si="162"/>
        <v/>
      </c>
    </row>
    <row r="98" spans="81:139" ht="18.75" customHeight="1" x14ac:dyDescent="0.15">
      <c r="CC98" t="s">
        <v>702</v>
      </c>
      <c r="CD98" t="s">
        <v>703</v>
      </c>
      <c r="CF98" t="s">
        <v>704</v>
      </c>
      <c r="CG98" t="s">
        <v>705</v>
      </c>
      <c r="CM98" t="s">
        <v>551</v>
      </c>
      <c r="DZ98" t="str">
        <f t="shared" si="181"/>
        <v/>
      </c>
      <c r="EI98" t="str">
        <f t="shared" si="162"/>
        <v/>
      </c>
    </row>
    <row r="99" spans="81:139" ht="18.75" customHeight="1" x14ac:dyDescent="0.15">
      <c r="CC99" s="1">
        <f>COUNTIF($CC$12:$CC$71,$CC98)</f>
        <v>0</v>
      </c>
      <c r="CD99" s="1">
        <f>COUNTIF($CD$12:$CD$71,$CD98)</f>
        <v>0</v>
      </c>
      <c r="CF99" s="1">
        <f>COUNTIF($CF$12:$CF$71,$CF98)</f>
        <v>0</v>
      </c>
      <c r="CG99" s="1">
        <f>COUNTIF($CG$12:$CG$71,$CG98)</f>
        <v>0</v>
      </c>
      <c r="CM99" s="1">
        <f>COUNTIF($CM$12:$CM$71,$CM98)</f>
        <v>0</v>
      </c>
      <c r="DZ99" t="str">
        <f t="shared" si="181"/>
        <v/>
      </c>
      <c r="EI99" t="str">
        <f t="shared" si="162"/>
        <v/>
      </c>
    </row>
    <row r="100" spans="81:139" ht="18.75" customHeight="1" x14ac:dyDescent="0.15">
      <c r="CC100" t="s">
        <v>394</v>
      </c>
      <c r="CD100" t="s">
        <v>403</v>
      </c>
      <c r="CF100" t="s">
        <v>435</v>
      </c>
      <c r="CG100" t="s">
        <v>447</v>
      </c>
      <c r="CM100" t="s">
        <v>423</v>
      </c>
      <c r="DZ100" t="str">
        <f t="shared" si="181"/>
        <v/>
      </c>
      <c r="EI100" t="str">
        <f t="shared" si="162"/>
        <v/>
      </c>
    </row>
    <row r="101" spans="81:139" ht="18.75" customHeight="1" x14ac:dyDescent="0.15">
      <c r="CC101" s="1">
        <f>COUNTIF($CC$12:$CC$71,$CC100)</f>
        <v>0</v>
      </c>
      <c r="CD101" s="1">
        <f>COUNTIF($CD$12:$CD$71,$CD100)</f>
        <v>0</v>
      </c>
      <c r="CF101" s="1">
        <f>COUNTIF($CF$12:$CF$71,$CF100)</f>
        <v>0</v>
      </c>
      <c r="CG101" s="1">
        <f>COUNTIF($CG$12:$CG$71,$CG100)</f>
        <v>0</v>
      </c>
      <c r="CM101" s="1">
        <f>COUNTIF($CM$12:$CM$71,$CM100)</f>
        <v>0</v>
      </c>
      <c r="DZ101" t="str">
        <f t="shared" si="181"/>
        <v/>
      </c>
      <c r="EI101" t="str">
        <f t="shared" si="162"/>
        <v/>
      </c>
    </row>
    <row r="102" spans="81:139" ht="18.75" customHeight="1" x14ac:dyDescent="0.15">
      <c r="CC102" t="s">
        <v>395</v>
      </c>
      <c r="CD102" t="s">
        <v>406</v>
      </c>
      <c r="CF102" t="s">
        <v>438</v>
      </c>
      <c r="CG102" t="s">
        <v>450</v>
      </c>
      <c r="CM102" t="s">
        <v>426</v>
      </c>
      <c r="DZ102" t="str">
        <f t="shared" si="181"/>
        <v/>
      </c>
      <c r="EI102" t="str">
        <f t="shared" si="162"/>
        <v/>
      </c>
    </row>
    <row r="103" spans="81:139" ht="18.75" customHeight="1" x14ac:dyDescent="0.15">
      <c r="CC103" s="1">
        <f>COUNTIF($CC$12:$CC$71,$CC102)</f>
        <v>0</v>
      </c>
      <c r="CD103" s="1">
        <f>COUNTIF($CD$12:$CD$71,$CD102)</f>
        <v>0</v>
      </c>
      <c r="CF103" s="1">
        <f>COUNTIF($CF$12:$CF$71,$CF102)</f>
        <v>0</v>
      </c>
      <c r="CG103" s="1">
        <f>COUNTIF($CG$12:$CG$71,$CG102)</f>
        <v>0</v>
      </c>
      <c r="CM103" s="1">
        <f>COUNTIF($CM$12:$CM$71,$CM102)</f>
        <v>0</v>
      </c>
      <c r="DZ103" t="str">
        <f t="shared" si="181"/>
        <v/>
      </c>
      <c r="EI103" t="str">
        <f t="shared" si="162"/>
        <v/>
      </c>
    </row>
    <row r="104" spans="81:139" ht="18.75" customHeight="1" x14ac:dyDescent="0.15">
      <c r="CC104" t="s">
        <v>396</v>
      </c>
      <c r="CD104" t="s">
        <v>409</v>
      </c>
      <c r="CF104" t="s">
        <v>441</v>
      </c>
      <c r="CG104" t="s">
        <v>453</v>
      </c>
      <c r="CM104" t="s">
        <v>429</v>
      </c>
      <c r="DZ104" t="str">
        <f t="shared" si="181"/>
        <v/>
      </c>
      <c r="EI104" t="str">
        <f t="shared" si="162"/>
        <v/>
      </c>
    </row>
    <row r="105" spans="81:139" ht="18.75" customHeight="1" x14ac:dyDescent="0.15">
      <c r="CC105" s="1">
        <f>COUNTIF($CC$12:$CC$71,$CC104)</f>
        <v>0</v>
      </c>
      <c r="CD105" s="1">
        <f>COUNTIF($CD$12:$CD$71,$CD104)</f>
        <v>0</v>
      </c>
      <c r="CF105" s="1">
        <f>COUNTIF($CF$12:$CF$71,$CF104)</f>
        <v>0</v>
      </c>
      <c r="CG105" s="1">
        <f>COUNTIF($CG$12:$CG$71,$CG104)</f>
        <v>0</v>
      </c>
      <c r="CM105" s="1">
        <f>COUNTIF($CM$12:$CM$71,$CM104)</f>
        <v>0</v>
      </c>
      <c r="DZ105" t="str">
        <f t="shared" si="181"/>
        <v/>
      </c>
      <c r="EI105" t="str">
        <f t="shared" si="162"/>
        <v/>
      </c>
    </row>
    <row r="106" spans="81:139" ht="18.75" customHeight="1" x14ac:dyDescent="0.15">
      <c r="CC106" t="s">
        <v>397</v>
      </c>
      <c r="CD106" t="s">
        <v>412</v>
      </c>
      <c r="CF106" t="s">
        <v>444</v>
      </c>
      <c r="CG106" t="s">
        <v>456</v>
      </c>
      <c r="CM106" t="s">
        <v>432</v>
      </c>
      <c r="DZ106" t="str">
        <f t="shared" si="181"/>
        <v/>
      </c>
      <c r="EI106" t="str">
        <f t="shared" si="162"/>
        <v/>
      </c>
    </row>
    <row r="107" spans="81:139" ht="18.75" customHeight="1" x14ac:dyDescent="0.15">
      <c r="CC107" s="1">
        <f>COUNTIF($CC$12:$CC$71,$CC106)</f>
        <v>0</v>
      </c>
      <c r="CD107" s="1">
        <f>COUNTIF($CD$12:$CD$71,$CD106)</f>
        <v>0</v>
      </c>
      <c r="CF107" s="1">
        <f>COUNTIF($CF$12:$CF$71,$CF106)</f>
        <v>0</v>
      </c>
      <c r="CG107" s="1">
        <f>COUNTIF($CG$12:$CG$71,$CG106)</f>
        <v>0</v>
      </c>
      <c r="CM107" s="1">
        <f>COUNTIF($CM$12:$CM$71,$CM106)</f>
        <v>0</v>
      </c>
      <c r="DZ107" t="str">
        <f t="shared" si="181"/>
        <v/>
      </c>
      <c r="EI107" t="str">
        <f t="shared" si="162"/>
        <v/>
      </c>
    </row>
    <row r="108" spans="81:139" ht="18.75" customHeight="1" x14ac:dyDescent="0.15">
      <c r="CC108" t="s">
        <v>706</v>
      </c>
      <c r="DZ108" t="str">
        <f t="shared" si="181"/>
        <v/>
      </c>
      <c r="EI108" t="str">
        <f t="shared" si="162"/>
        <v/>
      </c>
    </row>
    <row r="109" spans="81:139" ht="18.75" customHeight="1" x14ac:dyDescent="0.15">
      <c r="CC109" s="1">
        <f>COUNTIF($CC$12:$CC$71,$CC108)</f>
        <v>0</v>
      </c>
      <c r="DZ109" t="str">
        <f t="shared" si="181"/>
        <v/>
      </c>
      <c r="EI109" t="str">
        <f t="shared" si="162"/>
        <v/>
      </c>
    </row>
    <row r="110" spans="81:139" ht="18.75" customHeight="1" x14ac:dyDescent="0.15">
      <c r="CC110" t="s">
        <v>707</v>
      </c>
      <c r="CD110" t="s">
        <v>708</v>
      </c>
      <c r="CE110" t="s">
        <v>709</v>
      </c>
      <c r="CF110" t="s">
        <v>710</v>
      </c>
      <c r="CG110" t="s">
        <v>711</v>
      </c>
      <c r="CM110" t="s">
        <v>552</v>
      </c>
      <c r="DZ110" t="str">
        <f t="shared" si="181"/>
        <v/>
      </c>
      <c r="EI110" t="str">
        <f t="shared" si="162"/>
        <v/>
      </c>
    </row>
    <row r="111" spans="81:139" ht="18.75" customHeight="1" x14ac:dyDescent="0.15">
      <c r="CC111" s="1">
        <f>COUNTIF($CC$12:$CC$71,$CC110)</f>
        <v>0</v>
      </c>
      <c r="CD111" s="1">
        <f>COUNTIF($CD$12:$CD$71,$CD110)</f>
        <v>0</v>
      </c>
      <c r="CE111" s="1">
        <f>COUNTIF($CE$12:$CE$71,$CE110)</f>
        <v>0</v>
      </c>
      <c r="CF111" s="1">
        <f>COUNTIF($CF$12:$CF$71,$CF110)</f>
        <v>0</v>
      </c>
      <c r="CG111" s="1">
        <f>COUNTIF($CG$12:$CG$71,$CG110)</f>
        <v>0</v>
      </c>
      <c r="CM111" s="1">
        <f>COUNTIF($CM$12:$CM$71,$CM110)</f>
        <v>0</v>
      </c>
      <c r="DZ111" t="str">
        <f t="shared" si="181"/>
        <v/>
      </c>
      <c r="EI111" t="str">
        <f t="shared" si="162"/>
        <v/>
      </c>
    </row>
    <row r="112" spans="81:139" ht="18.75" customHeight="1" x14ac:dyDescent="0.15">
      <c r="CC112" t="s">
        <v>398</v>
      </c>
      <c r="CD112" t="s">
        <v>404</v>
      </c>
      <c r="CE112" t="s">
        <v>415</v>
      </c>
      <c r="CF112" t="s">
        <v>436</v>
      </c>
      <c r="CG112" t="s">
        <v>448</v>
      </c>
      <c r="CM112" t="s">
        <v>424</v>
      </c>
      <c r="DZ112" t="str">
        <f t="shared" si="181"/>
        <v/>
      </c>
      <c r="EI112" t="str">
        <f t="shared" si="162"/>
        <v/>
      </c>
    </row>
    <row r="113" spans="81:139" ht="18.75" customHeight="1" x14ac:dyDescent="0.15">
      <c r="CC113" s="1">
        <f>COUNTIF($CC$12:$CC$71,$CC112)</f>
        <v>0</v>
      </c>
      <c r="CD113" s="1">
        <f>COUNTIF($CD$12:$CD$71,$CD112)</f>
        <v>0</v>
      </c>
      <c r="CE113" s="1">
        <f>COUNTIF($CE$12:$CE$71,$CE112)</f>
        <v>0</v>
      </c>
      <c r="CF113" s="1">
        <f>COUNTIF($CF$12:$CF$71,$CF112)</f>
        <v>0</v>
      </c>
      <c r="CG113" s="1">
        <f>COUNTIF($CG$12:$CG$71,$CG112)</f>
        <v>0</v>
      </c>
      <c r="CM113" s="1">
        <f>COUNTIF($CM$12:$CM$71,$CM112)</f>
        <v>0</v>
      </c>
      <c r="DZ113" t="str">
        <f t="shared" si="181"/>
        <v/>
      </c>
      <c r="EI113" t="str">
        <f t="shared" si="162"/>
        <v/>
      </c>
    </row>
    <row r="114" spans="81:139" ht="18.75" customHeight="1" x14ac:dyDescent="0.15">
      <c r="CC114" t="s">
        <v>399</v>
      </c>
      <c r="CD114" t="s">
        <v>407</v>
      </c>
      <c r="CE114" t="s">
        <v>417</v>
      </c>
      <c r="CF114" t="s">
        <v>439</v>
      </c>
      <c r="CG114" t="s">
        <v>451</v>
      </c>
      <c r="CM114" t="s">
        <v>427</v>
      </c>
      <c r="DZ114" t="str">
        <f t="shared" si="181"/>
        <v/>
      </c>
      <c r="EI114" t="str">
        <f t="shared" si="162"/>
        <v/>
      </c>
    </row>
    <row r="115" spans="81:139" ht="18.75" customHeight="1" x14ac:dyDescent="0.15">
      <c r="CC115" s="1">
        <f>COUNTIF($CC$12:$CC$71,$CC114)</f>
        <v>0</v>
      </c>
      <c r="CD115" s="1">
        <f>COUNTIF($CD$12:$CD$71,$CD114)</f>
        <v>0</v>
      </c>
      <c r="CE115" s="1">
        <f>COUNTIF($CE$12:$CE$71,$CE114)</f>
        <v>0</v>
      </c>
      <c r="CF115" s="1">
        <f>COUNTIF($CF$12:$CF$71,$CF114)</f>
        <v>0</v>
      </c>
      <c r="CG115" s="1">
        <f>COUNTIF($CG$12:$CG$71,$CG114)</f>
        <v>0</v>
      </c>
      <c r="CM115" s="1">
        <f>COUNTIF($CM$12:$CM$71,$CM114)</f>
        <v>0</v>
      </c>
      <c r="DZ115" t="str">
        <f t="shared" si="181"/>
        <v/>
      </c>
      <c r="EI115" t="str">
        <f t="shared" si="162"/>
        <v/>
      </c>
    </row>
    <row r="116" spans="81:139" ht="18.75" customHeight="1" x14ac:dyDescent="0.15">
      <c r="CC116" t="s">
        <v>400</v>
      </c>
      <c r="CD116" t="s">
        <v>410</v>
      </c>
      <c r="CE116" t="s">
        <v>419</v>
      </c>
      <c r="CF116" t="s">
        <v>442</v>
      </c>
      <c r="CG116" t="s">
        <v>454</v>
      </c>
      <c r="CM116" t="s">
        <v>430</v>
      </c>
      <c r="DZ116" t="str">
        <f t="shared" si="181"/>
        <v/>
      </c>
      <c r="EI116" t="str">
        <f t="shared" si="162"/>
        <v/>
      </c>
    </row>
    <row r="117" spans="81:139" ht="18.75" customHeight="1" x14ac:dyDescent="0.15">
      <c r="CC117" s="1">
        <f>COUNTIF($CC$12:$CC$71,$CC116)</f>
        <v>0</v>
      </c>
      <c r="CD117" s="1">
        <f>COUNTIF($CD$12:$CD$71,$CD116)</f>
        <v>0</v>
      </c>
      <c r="CE117" s="1">
        <f>COUNTIF($CE$12:$CE$71,$CE116)</f>
        <v>0</v>
      </c>
      <c r="CF117" s="1">
        <f>COUNTIF($CF$12:$CF$71,$CF116)</f>
        <v>0</v>
      </c>
      <c r="CG117" s="1">
        <f>COUNTIF($CG$12:$CG$71,$CG116)</f>
        <v>0</v>
      </c>
      <c r="CM117" s="1">
        <f>COUNTIF($CM$12:$CM$71,$CM116)</f>
        <v>0</v>
      </c>
      <c r="DZ117" t="str">
        <f t="shared" si="181"/>
        <v/>
      </c>
      <c r="EI117" t="str">
        <f t="shared" si="162"/>
        <v/>
      </c>
    </row>
    <row r="118" spans="81:139" ht="18.75" customHeight="1" x14ac:dyDescent="0.15">
      <c r="CC118" t="s">
        <v>401</v>
      </c>
      <c r="CD118" t="s">
        <v>413</v>
      </c>
      <c r="CE118" t="s">
        <v>421</v>
      </c>
      <c r="CF118" t="s">
        <v>445</v>
      </c>
      <c r="CG118" t="s">
        <v>457</v>
      </c>
      <c r="CM118" t="s">
        <v>433</v>
      </c>
      <c r="DZ118" t="str">
        <f t="shared" si="181"/>
        <v/>
      </c>
      <c r="EI118" t="str">
        <f t="shared" si="162"/>
        <v/>
      </c>
    </row>
    <row r="119" spans="81:139" ht="18.75" customHeight="1" x14ac:dyDescent="0.15">
      <c r="CC119" s="1">
        <f>COUNTIF($CC$12:$CC$71,$CC118)</f>
        <v>0</v>
      </c>
      <c r="CD119" s="1">
        <f>COUNTIF($CD$12:$CD$71,$CD118)</f>
        <v>0</v>
      </c>
      <c r="CE119" s="1">
        <f>COUNTIF($CE$12:$CE$71,$CE118)</f>
        <v>0</v>
      </c>
      <c r="CF119" s="1">
        <f>COUNTIF($CF$12:$CF$71,$CF118)</f>
        <v>0</v>
      </c>
      <c r="CG119" s="1">
        <f>COUNTIF($CG$12:$CG$71,$CG118)</f>
        <v>0</v>
      </c>
      <c r="CM119" s="1">
        <f>COUNTIF($CM$12:$CM$71,$CM118)</f>
        <v>0</v>
      </c>
      <c r="DZ119" t="str">
        <f t="shared" si="181"/>
        <v/>
      </c>
      <c r="EI119" t="str">
        <f t="shared" si="162"/>
        <v/>
      </c>
    </row>
    <row r="120" spans="81:139" ht="18.75" customHeight="1" x14ac:dyDescent="0.15">
      <c r="DZ120" t="str">
        <f t="shared" si="181"/>
        <v/>
      </c>
      <c r="EI120" t="str">
        <f t="shared" si="162"/>
        <v/>
      </c>
    </row>
    <row r="121" spans="81:139" ht="18.75" customHeight="1" x14ac:dyDescent="0.15">
      <c r="DZ121" t="str">
        <f t="shared" si="181"/>
        <v/>
      </c>
      <c r="EI121" t="str">
        <f t="shared" si="162"/>
        <v/>
      </c>
    </row>
    <row r="122" spans="81:139" ht="18.75" customHeight="1" x14ac:dyDescent="0.15">
      <c r="DZ122" t="str">
        <f t="shared" si="181"/>
        <v/>
      </c>
      <c r="EI122" t="str">
        <f t="shared" si="162"/>
        <v/>
      </c>
    </row>
    <row r="123" spans="81:139" ht="18.75" customHeight="1" x14ac:dyDescent="0.15">
      <c r="DZ123" t="str">
        <f t="shared" si="181"/>
        <v/>
      </c>
      <c r="EI123" t="str">
        <f t="shared" si="162"/>
        <v/>
      </c>
    </row>
    <row r="124" spans="81:139" ht="18.75" customHeight="1" x14ac:dyDescent="0.15">
      <c r="DZ124" t="str">
        <f t="shared" si="181"/>
        <v/>
      </c>
      <c r="EI124" t="str">
        <f t="shared" si="162"/>
        <v/>
      </c>
    </row>
    <row r="125" spans="81:139" ht="18.75" customHeight="1" x14ac:dyDescent="0.15">
      <c r="DZ125" t="str">
        <f t="shared" si="181"/>
        <v/>
      </c>
      <c r="EI125" t="str">
        <f t="shared" si="162"/>
        <v/>
      </c>
    </row>
    <row r="126" spans="81:139" ht="18.75" customHeight="1" x14ac:dyDescent="0.15">
      <c r="DZ126" t="str">
        <f t="shared" si="181"/>
        <v/>
      </c>
      <c r="EI126" t="str">
        <f t="shared" si="162"/>
        <v/>
      </c>
    </row>
    <row r="127" spans="81:139" ht="18.75" customHeight="1" x14ac:dyDescent="0.15">
      <c r="DZ127" t="str">
        <f t="shared" si="181"/>
        <v/>
      </c>
      <c r="EI127" t="str">
        <f t="shared" si="162"/>
        <v/>
      </c>
    </row>
    <row r="128" spans="81:139" ht="18.75" customHeight="1" x14ac:dyDescent="0.15">
      <c r="DZ128" t="str">
        <f t="shared" si="181"/>
        <v/>
      </c>
      <c r="EI128" t="str">
        <f t="shared" si="162"/>
        <v/>
      </c>
    </row>
    <row r="129" spans="130:139" ht="18.75" customHeight="1" x14ac:dyDescent="0.15">
      <c r="DZ129" t="str">
        <f t="shared" si="181"/>
        <v/>
      </c>
      <c r="EI129" t="str">
        <f t="shared" si="162"/>
        <v/>
      </c>
    </row>
    <row r="130" spans="130:139" ht="18.75" customHeight="1" x14ac:dyDescent="0.15">
      <c r="DZ130" t="str">
        <f t="shared" si="181"/>
        <v/>
      </c>
      <c r="EI130" t="str">
        <f t="shared" si="162"/>
        <v/>
      </c>
    </row>
    <row r="131" spans="130:139" ht="18.75" customHeight="1" x14ac:dyDescent="0.15">
      <c r="DZ131" t="str">
        <f t="shared" si="181"/>
        <v/>
      </c>
      <c r="EI131" t="str">
        <f t="shared" si="162"/>
        <v/>
      </c>
    </row>
    <row r="132" spans="130:139" ht="18.75" customHeight="1" x14ac:dyDescent="0.15">
      <c r="DZ132" t="str">
        <f t="shared" si="181"/>
        <v/>
      </c>
      <c r="EI132" t="str">
        <f t="shared" si="162"/>
        <v/>
      </c>
    </row>
    <row r="133" spans="130:139" ht="18.75" customHeight="1" x14ac:dyDescent="0.15">
      <c r="DZ133" t="str">
        <f t="shared" si="181"/>
        <v/>
      </c>
      <c r="EI133" t="str">
        <f t="shared" si="162"/>
        <v/>
      </c>
    </row>
    <row r="134" spans="130:139" ht="18.75" customHeight="1" x14ac:dyDescent="0.15">
      <c r="DZ134" t="str">
        <f t="shared" si="181"/>
        <v/>
      </c>
      <c r="EI134" t="str">
        <f t="shared" si="162"/>
        <v/>
      </c>
    </row>
    <row r="135" spans="130:139" ht="18.75" customHeight="1" x14ac:dyDescent="0.15">
      <c r="DZ135" t="str">
        <f t="shared" si="181"/>
        <v/>
      </c>
      <c r="EI135" t="str">
        <f t="shared" si="162"/>
        <v/>
      </c>
    </row>
    <row r="136" spans="130:139" ht="18.75" customHeight="1" x14ac:dyDescent="0.15">
      <c r="DZ136" t="str">
        <f t="shared" si="181"/>
        <v/>
      </c>
      <c r="EI136" t="str">
        <f t="shared" ref="EI136:EI138" si="182">IF(EH136="AP-IB-Jr","ジュニア",IF(EH136="AP-IB-Sr","シニア",""))</f>
        <v/>
      </c>
    </row>
    <row r="137" spans="130:139" ht="18.75" customHeight="1" x14ac:dyDescent="0.15">
      <c r="DZ137" t="str">
        <f t="shared" si="181"/>
        <v/>
      </c>
      <c r="EI137" t="str">
        <f t="shared" si="182"/>
        <v/>
      </c>
    </row>
    <row r="138" spans="130:139" ht="18.75" customHeight="1" x14ac:dyDescent="0.15">
      <c r="DZ138" t="str">
        <f t="shared" si="181"/>
        <v/>
      </c>
      <c r="EI138" t="str">
        <f t="shared" si="182"/>
        <v/>
      </c>
    </row>
  </sheetData>
  <sheetProtection algorithmName="SHA-512" hashValue="jTddfiBAb37V/TNbTX+zxhxgbaxcetkR6iRBPUPNXsvy0o18fyv7NOj5LQvn7MisRjoxTFEeaHBYou0vtR+jNw==" saltValue="hQ6jOpx8IoLd5iRbk2b6Pw==" spinCount="100000" sheet="1" selectLockedCells="1"/>
  <mergeCells count="417">
    <mergeCell ref="ED70:ED71"/>
    <mergeCell ref="EH70:EH71"/>
    <mergeCell ref="ED60:ED61"/>
    <mergeCell ref="EH60:EH61"/>
    <mergeCell ref="ED62:ED63"/>
    <mergeCell ref="EH62:EH63"/>
    <mergeCell ref="ED64:ED65"/>
    <mergeCell ref="EH64:EH65"/>
    <mergeCell ref="ED66:ED67"/>
    <mergeCell ref="EH66:EH67"/>
    <mergeCell ref="ED68:ED69"/>
    <mergeCell ref="EH68:EH69"/>
    <mergeCell ref="ED50:ED51"/>
    <mergeCell ref="EH50:EH51"/>
    <mergeCell ref="ED52:ED53"/>
    <mergeCell ref="EH52:EH53"/>
    <mergeCell ref="ED54:ED55"/>
    <mergeCell ref="EH54:EH55"/>
    <mergeCell ref="ED56:ED57"/>
    <mergeCell ref="EH56:EH57"/>
    <mergeCell ref="ED58:ED59"/>
    <mergeCell ref="EH58:EH59"/>
    <mergeCell ref="ED40:ED41"/>
    <mergeCell ref="EH40:EH41"/>
    <mergeCell ref="ED42:ED43"/>
    <mergeCell ref="EH42:EH43"/>
    <mergeCell ref="ED44:ED45"/>
    <mergeCell ref="EH44:EH45"/>
    <mergeCell ref="ED46:ED47"/>
    <mergeCell ref="EH46:EH47"/>
    <mergeCell ref="ED48:ED49"/>
    <mergeCell ref="EH48:EH49"/>
    <mergeCell ref="ED30:ED31"/>
    <mergeCell ref="EH30:EH31"/>
    <mergeCell ref="ED32:ED33"/>
    <mergeCell ref="EH32:EH33"/>
    <mergeCell ref="ED34:ED35"/>
    <mergeCell ref="EH34:EH35"/>
    <mergeCell ref="ED36:ED37"/>
    <mergeCell ref="EH36:EH37"/>
    <mergeCell ref="ED38:ED39"/>
    <mergeCell ref="EH38:EH39"/>
    <mergeCell ref="ED20:ED21"/>
    <mergeCell ref="EH20:EH21"/>
    <mergeCell ref="ED22:ED23"/>
    <mergeCell ref="EH22:EH23"/>
    <mergeCell ref="ED24:ED25"/>
    <mergeCell ref="EH24:EH25"/>
    <mergeCell ref="ED26:ED27"/>
    <mergeCell ref="EH26:EH27"/>
    <mergeCell ref="ED28:ED29"/>
    <mergeCell ref="EH28:EH29"/>
    <mergeCell ref="EA10:EH10"/>
    <mergeCell ref="ED12:ED13"/>
    <mergeCell ref="EH12:EH13"/>
    <mergeCell ref="ED14:ED15"/>
    <mergeCell ref="EH14:EH15"/>
    <mergeCell ref="ED16:ED17"/>
    <mergeCell ref="EH16:EH17"/>
    <mergeCell ref="ED18:ED19"/>
    <mergeCell ref="EH18:EH19"/>
    <mergeCell ref="EM72:EN72"/>
    <mergeCell ref="DY64:DY65"/>
    <mergeCell ref="DY66:DY67"/>
    <mergeCell ref="DY68:DY69"/>
    <mergeCell ref="DY70:DY71"/>
    <mergeCell ref="EJ10:EO10"/>
    <mergeCell ref="EL12:EL21"/>
    <mergeCell ref="EO12:EO21"/>
    <mergeCell ref="EL22:EL31"/>
    <mergeCell ref="EO22:EO31"/>
    <mergeCell ref="EL32:EL41"/>
    <mergeCell ref="EO32:EO41"/>
    <mergeCell ref="EL42:EL51"/>
    <mergeCell ref="EO42:EO51"/>
    <mergeCell ref="EL52:EL61"/>
    <mergeCell ref="EO52:EO61"/>
    <mergeCell ref="EL62:EL71"/>
    <mergeCell ref="EO62:EO71"/>
    <mergeCell ref="DY46:DY47"/>
    <mergeCell ref="DY48:DY49"/>
    <mergeCell ref="DY50:DY51"/>
    <mergeCell ref="DY52:DY53"/>
    <mergeCell ref="DY54:DY55"/>
    <mergeCell ref="DY56:DY57"/>
    <mergeCell ref="DY62:DY63"/>
    <mergeCell ref="DY28:DY29"/>
    <mergeCell ref="DY30:DY31"/>
    <mergeCell ref="DY32:DY33"/>
    <mergeCell ref="DY34:DY35"/>
    <mergeCell ref="DY36:DY37"/>
    <mergeCell ref="DY38:DY39"/>
    <mergeCell ref="DY40:DY41"/>
    <mergeCell ref="DY42:DY43"/>
    <mergeCell ref="DY44:DY45"/>
    <mergeCell ref="DY16:DY17"/>
    <mergeCell ref="DY18:DY19"/>
    <mergeCell ref="DY20:DY21"/>
    <mergeCell ref="DY22:DY23"/>
    <mergeCell ref="DY24:DY25"/>
    <mergeCell ref="DY26:DY27"/>
    <mergeCell ref="DV22:DV23"/>
    <mergeCell ref="DY58:DY59"/>
    <mergeCell ref="DY60:DY61"/>
    <mergeCell ref="FR36:FR37"/>
    <mergeCell ref="AY4:AZ4"/>
    <mergeCell ref="AY10:AZ10"/>
    <mergeCell ref="AY11:AZ11"/>
    <mergeCell ref="DK10:DL10"/>
    <mergeCell ref="GE73:GG73"/>
    <mergeCell ref="J1:M1"/>
    <mergeCell ref="J2:M2"/>
    <mergeCell ref="DO10:DP10"/>
    <mergeCell ref="M10:M11"/>
    <mergeCell ref="N10:N11"/>
    <mergeCell ref="O10:O11"/>
    <mergeCell ref="DV68:DV69"/>
    <mergeCell ref="DV70:DV71"/>
    <mergeCell ref="DV60:DV61"/>
    <mergeCell ref="DV62:DV63"/>
    <mergeCell ref="DV64:DV65"/>
    <mergeCell ref="DV36:DV37"/>
    <mergeCell ref="DV38:DV39"/>
    <mergeCell ref="DV40:DV41"/>
    <mergeCell ref="DV26:DV27"/>
    <mergeCell ref="DV28:DV29"/>
    <mergeCell ref="DV18:DV19"/>
    <mergeCell ref="DV20:DV21"/>
    <mergeCell ref="FR44:FR45"/>
    <mergeCell ref="DV42:DV43"/>
    <mergeCell ref="DV44:DV45"/>
    <mergeCell ref="DV46:DV47"/>
    <mergeCell ref="GJ10:GK10"/>
    <mergeCell ref="DV66:DV67"/>
    <mergeCell ref="DV54:DV55"/>
    <mergeCell ref="DV56:DV57"/>
    <mergeCell ref="DV58:DV59"/>
    <mergeCell ref="DV48:DV49"/>
    <mergeCell ref="DV50:DV51"/>
    <mergeCell ref="DV52:DV53"/>
    <mergeCell ref="DS10:DY10"/>
    <mergeCell ref="DV12:DV13"/>
    <mergeCell ref="DV30:DV31"/>
    <mergeCell ref="DV32:DV33"/>
    <mergeCell ref="DV34:DV35"/>
    <mergeCell ref="DV24:DV25"/>
    <mergeCell ref="DV14:DV15"/>
    <mergeCell ref="DV16:DV17"/>
    <mergeCell ref="FR60:FR61"/>
    <mergeCell ref="FU60:FU61"/>
    <mergeCell ref="FR62:FR63"/>
    <mergeCell ref="FU62:FU63"/>
    <mergeCell ref="FU54:FU55"/>
    <mergeCell ref="FR52:FR53"/>
    <mergeCell ref="FR68:FR69"/>
    <mergeCell ref="FU68:FU69"/>
    <mergeCell ref="FR70:FR71"/>
    <mergeCell ref="FU70:FU71"/>
    <mergeCell ref="FR58:FR59"/>
    <mergeCell ref="FU58:FU59"/>
    <mergeCell ref="FR64:FR65"/>
    <mergeCell ref="FU64:FU65"/>
    <mergeCell ref="FR66:FR67"/>
    <mergeCell ref="FU66:FU67"/>
    <mergeCell ref="FU52:FU53"/>
    <mergeCell ref="FR54:FR55"/>
    <mergeCell ref="FR56:FR57"/>
    <mergeCell ref="FU56:FU57"/>
    <mergeCell ref="FU44:FU45"/>
    <mergeCell ref="FR46:FR47"/>
    <mergeCell ref="FU46:FU47"/>
    <mergeCell ref="FU50:FU51"/>
    <mergeCell ref="FR48:FR49"/>
    <mergeCell ref="FU48:FU49"/>
    <mergeCell ref="FR50:FR51"/>
    <mergeCell ref="FR26:FR27"/>
    <mergeCell ref="FU26:FU27"/>
    <mergeCell ref="FR28:FR29"/>
    <mergeCell ref="FU28:FU29"/>
    <mergeCell ref="FR30:FR31"/>
    <mergeCell ref="FU30:FU31"/>
    <mergeCell ref="FR32:FR33"/>
    <mergeCell ref="FU32:FU33"/>
    <mergeCell ref="FR34:FR35"/>
    <mergeCell ref="FU34:FU35"/>
    <mergeCell ref="FU36:FU37"/>
    <mergeCell ref="FR38:FR39"/>
    <mergeCell ref="FU38:FU39"/>
    <mergeCell ref="FR40:FR41"/>
    <mergeCell ref="FU40:FU41"/>
    <mergeCell ref="FR42:FR43"/>
    <mergeCell ref="FU42:FU43"/>
    <mergeCell ref="FU16:FU17"/>
    <mergeCell ref="FR18:FR19"/>
    <mergeCell ref="FU18:FU19"/>
    <mergeCell ref="FR20:FR21"/>
    <mergeCell ref="FU20:FU21"/>
    <mergeCell ref="FR22:FR23"/>
    <mergeCell ref="FU22:FU23"/>
    <mergeCell ref="FR24:FR25"/>
    <mergeCell ref="FU24:FU25"/>
    <mergeCell ref="FO10:FU10"/>
    <mergeCell ref="CM22:CM23"/>
    <mergeCell ref="CV10:CW10"/>
    <mergeCell ref="CZ10:DF10"/>
    <mergeCell ref="DC22:DC23"/>
    <mergeCell ref="DF22:DF23"/>
    <mergeCell ref="CX10:CY10"/>
    <mergeCell ref="DC14:DC15"/>
    <mergeCell ref="DF14:DF15"/>
    <mergeCell ref="DF18:DF19"/>
    <mergeCell ref="DC16:DC17"/>
    <mergeCell ref="DF16:DF17"/>
    <mergeCell ref="CM14:CM15"/>
    <mergeCell ref="CM16:CM17"/>
    <mergeCell ref="DC20:DC21"/>
    <mergeCell ref="DF20:DF21"/>
    <mergeCell ref="DC18:DC19"/>
    <mergeCell ref="FM10:FN10"/>
    <mergeCell ref="FK10:FL10"/>
    <mergeCell ref="FR12:FR13"/>
    <mergeCell ref="FU12:FU13"/>
    <mergeCell ref="FR14:FR15"/>
    <mergeCell ref="FU14:FU15"/>
    <mergeCell ref="FR16:FR17"/>
    <mergeCell ref="B2:D2"/>
    <mergeCell ref="E2:G2"/>
    <mergeCell ref="H10:H11"/>
    <mergeCell ref="CP10:CQ10"/>
    <mergeCell ref="CH10:CM10"/>
    <mergeCell ref="Q10:Q11"/>
    <mergeCell ref="R10:R11"/>
    <mergeCell ref="S10:S11"/>
    <mergeCell ref="V10:W11"/>
    <mergeCell ref="B3:B4"/>
    <mergeCell ref="D3:D4"/>
    <mergeCell ref="E3:E4"/>
    <mergeCell ref="F3:F4"/>
    <mergeCell ref="G3:G4"/>
    <mergeCell ref="BJ10:BK10"/>
    <mergeCell ref="J3:M3"/>
    <mergeCell ref="AV4:AW4"/>
    <mergeCell ref="N3:O3"/>
    <mergeCell ref="CE10:CE11"/>
    <mergeCell ref="CF10:CF11"/>
    <mergeCell ref="CG10:CG11"/>
    <mergeCell ref="CC10:CC11"/>
    <mergeCell ref="P3:P4"/>
    <mergeCell ref="K10:K11"/>
    <mergeCell ref="Q1:W1"/>
    <mergeCell ref="AI11:AJ11"/>
    <mergeCell ref="T10:T11"/>
    <mergeCell ref="U10:U11"/>
    <mergeCell ref="AI10:AJ10"/>
    <mergeCell ref="AV10:AW10"/>
    <mergeCell ref="CM70:CM71"/>
    <mergeCell ref="CM52:CM53"/>
    <mergeCell ref="CM54:CM55"/>
    <mergeCell ref="CM56:CM57"/>
    <mergeCell ref="CM58:CM59"/>
    <mergeCell ref="CM60:CM61"/>
    <mergeCell ref="CM64:CM65"/>
    <mergeCell ref="CM66:CM67"/>
    <mergeCell ref="CM68:CM69"/>
    <mergeCell ref="CM50:CM51"/>
    <mergeCell ref="CM62:CM63"/>
    <mergeCell ref="CJ14:CJ15"/>
    <mergeCell ref="CJ16:CJ17"/>
    <mergeCell ref="CM34:CM35"/>
    <mergeCell ref="AV11:AW11"/>
    <mergeCell ref="CM38:CM39"/>
    <mergeCell ref="CJ46:CJ47"/>
    <mergeCell ref="AL4:AL9"/>
    <mergeCell ref="CJ66:CJ67"/>
    <mergeCell ref="CJ68:CJ69"/>
    <mergeCell ref="CJ70:CJ71"/>
    <mergeCell ref="CJ52:CJ53"/>
    <mergeCell ref="CJ54:CJ55"/>
    <mergeCell ref="CJ56:CJ57"/>
    <mergeCell ref="CJ58:CJ59"/>
    <mergeCell ref="CJ60:CJ61"/>
    <mergeCell ref="CJ64:CJ65"/>
    <mergeCell ref="CJ62:CJ63"/>
    <mergeCell ref="DC48:DC49"/>
    <mergeCell ref="CM32:CM33"/>
    <mergeCell ref="CM28:CM29"/>
    <mergeCell ref="CM30:CM31"/>
    <mergeCell ref="CM36:CM37"/>
    <mergeCell ref="CJ36:CJ37"/>
    <mergeCell ref="CJ48:CJ49"/>
    <mergeCell ref="CJ38:CJ39"/>
    <mergeCell ref="CJ40:CJ41"/>
    <mergeCell ref="CM48:CM49"/>
    <mergeCell ref="CM40:CM41"/>
    <mergeCell ref="CM42:CM43"/>
    <mergeCell ref="CM46:CM47"/>
    <mergeCell ref="CM44:CM45"/>
    <mergeCell ref="H2:H4"/>
    <mergeCell ref="BF3:BG3"/>
    <mergeCell ref="V4:W4"/>
    <mergeCell ref="CC9:CM9"/>
    <mergeCell ref="BG10:BG11"/>
    <mergeCell ref="BP9:BU9"/>
    <mergeCell ref="AI4:AJ4"/>
    <mergeCell ref="CJ24:CJ25"/>
    <mergeCell ref="CM12:CM13"/>
    <mergeCell ref="I2:I4"/>
    <mergeCell ref="CD10:CD11"/>
    <mergeCell ref="CM18:CM19"/>
    <mergeCell ref="CM20:CM21"/>
    <mergeCell ref="CJ18:CJ19"/>
    <mergeCell ref="P10:P11"/>
    <mergeCell ref="Q2:W3"/>
    <mergeCell ref="CJ12:CJ13"/>
    <mergeCell ref="CJ22:CJ23"/>
    <mergeCell ref="CJ20:CJ21"/>
    <mergeCell ref="CM24:CM25"/>
    <mergeCell ref="I10:I11"/>
    <mergeCell ref="J10:J11"/>
    <mergeCell ref="AM10:AM11"/>
    <mergeCell ref="L10:L11"/>
    <mergeCell ref="B10:G11"/>
    <mergeCell ref="BV9:CA9"/>
    <mergeCell ref="FY73:GB73"/>
    <mergeCell ref="GI73:GJ73"/>
    <mergeCell ref="DC70:DC71"/>
    <mergeCell ref="DF70:DF71"/>
    <mergeCell ref="DC64:DC65"/>
    <mergeCell ref="DF64:DF65"/>
    <mergeCell ref="DC66:DC67"/>
    <mergeCell ref="DF66:DF67"/>
    <mergeCell ref="DC68:DC69"/>
    <mergeCell ref="DF68:DF69"/>
    <mergeCell ref="DC60:DC61"/>
    <mergeCell ref="DF60:DF61"/>
    <mergeCell ref="DF54:DF55"/>
    <mergeCell ref="DC62:DC63"/>
    <mergeCell ref="DF62:DF63"/>
    <mergeCell ref="DC42:DC43"/>
    <mergeCell ref="DF42:DF43"/>
    <mergeCell ref="DM10:DN10"/>
    <mergeCell ref="DC58:DC59"/>
    <mergeCell ref="DF58:DF59"/>
    <mergeCell ref="DC50:DC51"/>
    <mergeCell ref="DC24:DC25"/>
    <mergeCell ref="ER42:ER51"/>
    <mergeCell ref="EU42:EU51"/>
    <mergeCell ref="Y2:AK3"/>
    <mergeCell ref="DF24:DF25"/>
    <mergeCell ref="DC26:DC27"/>
    <mergeCell ref="DC40:DC41"/>
    <mergeCell ref="DF40:DF41"/>
    <mergeCell ref="DF48:DF49"/>
    <mergeCell ref="DF50:DF51"/>
    <mergeCell ref="DC44:DC45"/>
    <mergeCell ref="DF44:DF45"/>
    <mergeCell ref="DC46:DC47"/>
    <mergeCell ref="DF46:DF47"/>
    <mergeCell ref="DC38:DC39"/>
    <mergeCell ref="DF38:DF39"/>
    <mergeCell ref="DC30:DC31"/>
    <mergeCell ref="CJ50:CJ51"/>
    <mergeCell ref="CJ32:CJ33"/>
    <mergeCell ref="CJ34:CJ35"/>
    <mergeCell ref="CJ42:CJ43"/>
    <mergeCell ref="CJ44:CJ45"/>
    <mergeCell ref="DF28:DF29"/>
    <mergeCell ref="DF32:DF33"/>
    <mergeCell ref="DC34:DC35"/>
    <mergeCell ref="CR10:CS10"/>
    <mergeCell ref="AB1:AG1"/>
    <mergeCell ref="EP10:EU10"/>
    <mergeCell ref="ER12:ER21"/>
    <mergeCell ref="EU12:EU21"/>
    <mergeCell ref="ER22:ER31"/>
    <mergeCell ref="EU22:EU31"/>
    <mergeCell ref="ER32:ER41"/>
    <mergeCell ref="EU32:EU41"/>
    <mergeCell ref="DF34:DF35"/>
    <mergeCell ref="DC36:DC37"/>
    <mergeCell ref="DF36:DF37"/>
    <mergeCell ref="DC32:DC33"/>
    <mergeCell ref="DC28:DC29"/>
    <mergeCell ref="CJ28:CJ29"/>
    <mergeCell ref="CJ30:CJ31"/>
    <mergeCell ref="DC12:DC13"/>
    <mergeCell ref="DF12:DF13"/>
    <mergeCell ref="DF26:DF27"/>
    <mergeCell ref="CJ26:CJ27"/>
    <mergeCell ref="CM26:CM27"/>
    <mergeCell ref="DQ10:DR10"/>
    <mergeCell ref="DY12:DY13"/>
    <mergeCell ref="DY14:DY15"/>
    <mergeCell ref="AM2:BC3"/>
    <mergeCell ref="C3:C4"/>
    <mergeCell ref="EX12:EX43"/>
    <mergeCell ref="FA12:FA43"/>
    <mergeCell ref="EX44:EX75"/>
    <mergeCell ref="FA44:FA75"/>
    <mergeCell ref="GR11:GU11"/>
    <mergeCell ref="AN1:BA1"/>
    <mergeCell ref="EY76:EZ76"/>
    <mergeCell ref="GC73:GD73"/>
    <mergeCell ref="ER52:ER61"/>
    <mergeCell ref="EU52:EU61"/>
    <mergeCell ref="ER62:ER71"/>
    <mergeCell ref="EU62:EU71"/>
    <mergeCell ref="ES72:ET72"/>
    <mergeCell ref="EV10:FA10"/>
    <mergeCell ref="FB10:FB11"/>
    <mergeCell ref="DC56:DC57"/>
    <mergeCell ref="DF56:DF57"/>
    <mergeCell ref="DC52:DC53"/>
    <mergeCell ref="DF52:DF53"/>
    <mergeCell ref="DC54:DC55"/>
    <mergeCell ref="DF30:DF31"/>
    <mergeCell ref="CT10:CU10"/>
  </mergeCells>
  <phoneticPr fontId="4"/>
  <conditionalFormatting sqref="D12:D71">
    <cfRule type="cellIs" dxfId="4" priority="31" operator="equal">
      <formula>"重複"</formula>
    </cfRule>
  </conditionalFormatting>
  <conditionalFormatting sqref="P12:P71">
    <cfRule type="expression" dxfId="3" priority="19">
      <formula>$BO12&lt;7</formula>
    </cfRule>
  </conditionalFormatting>
  <conditionalFormatting sqref="R12:W71">
    <cfRule type="expression" dxfId="2" priority="28">
      <formula>$BO12&gt;=7</formula>
    </cfRule>
  </conditionalFormatting>
  <conditionalFormatting sqref="Y12:AK71">
    <cfRule type="expression" dxfId="1" priority="9">
      <formula>AND($CO12&gt;=1,$CO12&lt;=6)</formula>
    </cfRule>
  </conditionalFormatting>
  <conditionalFormatting sqref="AM12:BG71">
    <cfRule type="expression" dxfId="0" priority="1">
      <formula>AND($BJ12&lt;=41730,$BJ12&gt;0)</formula>
    </cfRule>
  </conditionalFormatting>
  <dataValidations count="11">
    <dataValidation type="list" allowBlank="1" showInputMessage="1" showErrorMessage="1" sqref="F5:F9 F12:F71" xr:uid="{00000000-0002-0000-0200-000000000000}">
      <formula1>"男子"</formula1>
    </dataValidation>
    <dataValidation type="list" allowBlank="1" showInputMessage="1" showErrorMessage="1" sqref="Q12:Q71" xr:uid="{00000000-0002-0000-0200-000001000000}">
      <formula1>$BI$14:$BI$17</formula1>
    </dataValidation>
    <dataValidation type="list" allowBlank="1" showInputMessage="1" showErrorMessage="1" sqref="R12:R71 T12:V71" xr:uid="{00000000-0002-0000-0200-000002000000}">
      <formula1>$BI$15:$BI$17</formula1>
    </dataValidation>
    <dataValidation type="list" allowBlank="1" showInputMessage="1" showErrorMessage="1" sqref="S12:S71" xr:uid="{00000000-0002-0000-0200-000003000000}">
      <formula1>$BI$18:$BI$19</formula1>
    </dataValidation>
    <dataValidation imeMode="on" allowBlank="1" showInputMessage="1" showErrorMessage="1" sqref="B1:C2" xr:uid="{00000000-0002-0000-0200-000005000000}"/>
    <dataValidation imeMode="off" allowBlank="1" showInputMessage="1" showErrorMessage="1" sqref="AI72:AI65460 AE72:AE65460 AG72:AG65460 AM72:AM65087 BF72:BG65460 AZ72:BA65460 AL72:AL65460 AW72:AW65460 BB5:BE5 BB72:BE65087" xr:uid="{00000000-0002-0000-0200-000006000000}"/>
    <dataValidation imeMode="halfAlpha" allowBlank="1" showInputMessage="1" showErrorMessage="1" sqref="W12:X71 AJ12:AJ71 AZ12:AZ71 BB12:BE71 AM12:AM71 AW12:AW71 G12:G71" xr:uid="{00000000-0002-0000-0200-000007000000}"/>
    <dataValidation type="list" allowBlank="1" showInputMessage="1" showErrorMessage="1" sqref="J12:O71 AY12:AY71 AN12:AN71 AV12:AV71 AR12:AR71 AT12:AT71 AP12:AP71" xr:uid="{00000000-0002-0000-0200-000008000000}">
      <formula1>$BI$13</formula1>
    </dataValidation>
    <dataValidation imeMode="hiragana" allowBlank="1" showInputMessage="1" showErrorMessage="1" sqref="D12:E71 BF12:BG71 AL12:AL71" xr:uid="{00000000-0002-0000-0200-00000A000000}"/>
    <dataValidation type="list" allowBlank="1" showInputMessage="1" showErrorMessage="1" sqref="P12:P71" xr:uid="{00000000-0002-0000-0200-00000B000000}">
      <formula1>"○"</formula1>
    </dataValidation>
    <dataValidation type="list" allowBlank="1" showInputMessage="1" showErrorMessage="1" sqref="Y12:Y71 AG12:AG71 AE12:AE71 AI12:AI71 AC12:AC71 AA12:AA71" xr:uid="{21F776FF-5309-4896-A513-0D0D0E293A63}">
      <formula1>$BI$20:$BI$20</formula1>
    </dataValidation>
  </dataValidations>
  <pageMargins left="0.23622047244094491" right="0.19685039370078741" top="0.43307086614173229" bottom="0.11811023622047245" header="0.31496062992125984" footer="0.11811023622047245"/>
  <pageSetup paperSize="9" scale="72" pageOrder="overThenDown" orientation="landscape" r:id="rId1"/>
  <rowBreaks count="1" manualBreakCount="1">
    <brk id="41" min="8" max="41" man="1"/>
  </rowBreaks>
  <colBreaks count="1" manualBreakCount="1">
    <brk id="24" min="11" max="70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00B0F0"/>
  </sheetPr>
  <dimension ref="A1:AF180"/>
  <sheetViews>
    <sheetView tabSelected="1" view="pageBreakPreview" topLeftCell="A120" zoomScale="55" zoomScaleNormal="80" zoomScaleSheetLayoutView="55" workbookViewId="0">
      <selection activeCell="W158" sqref="W158"/>
    </sheetView>
  </sheetViews>
  <sheetFormatPr defaultColWidth="9" defaultRowHeight="13.5" x14ac:dyDescent="0.15"/>
  <cols>
    <col min="1" max="1" width="14.625" style="361" customWidth="1"/>
    <col min="2" max="2" width="7.25" style="361" customWidth="1"/>
    <col min="3" max="4" width="6.625" style="361" customWidth="1"/>
    <col min="5" max="19" width="6.25" style="361" customWidth="1"/>
    <col min="20" max="27" width="6.25" style="2" customWidth="1"/>
    <col min="28" max="28" width="2.75" style="2" customWidth="1"/>
    <col min="29" max="30" width="6.625" style="2" customWidth="1"/>
    <col min="31" max="31" width="10.375" style="2" bestFit="1" customWidth="1"/>
    <col min="32" max="16384" width="9" style="2"/>
  </cols>
  <sheetData>
    <row r="1" spans="1:29" ht="30" customHeight="1" thickBot="1" x14ac:dyDescent="0.2">
      <c r="I1" s="1205" t="s">
        <v>25</v>
      </c>
      <c r="J1" s="1206"/>
      <c r="K1" s="1206"/>
      <c r="L1" s="1206"/>
      <c r="M1" s="1206"/>
      <c r="N1" s="1206"/>
      <c r="O1" s="1206"/>
      <c r="P1" s="1206"/>
      <c r="Q1" s="1206"/>
      <c r="R1" s="1207"/>
      <c r="W1" s="1129" t="s">
        <v>325</v>
      </c>
      <c r="X1" s="1130"/>
      <c r="Y1" s="1126">
        <f>団体情報・入力の仕方!$G$3</f>
        <v>0</v>
      </c>
      <c r="Z1" s="1127"/>
      <c r="AA1" s="1128"/>
    </row>
    <row r="3" spans="1:29" ht="25.5" customHeight="1" thickBot="1" x14ac:dyDescent="0.2">
      <c r="A3" s="1209" t="s">
        <v>1177</v>
      </c>
      <c r="B3" s="1209"/>
      <c r="C3" s="1209"/>
      <c r="D3" s="1209"/>
      <c r="E3" s="1209"/>
      <c r="F3" s="1209"/>
      <c r="G3" s="1209"/>
      <c r="H3" s="1209"/>
      <c r="I3" s="1209"/>
      <c r="J3" s="1209"/>
      <c r="K3" s="1209"/>
      <c r="W3" s="1201" t="s">
        <v>26</v>
      </c>
      <c r="X3" s="1201"/>
      <c r="Y3" s="1201">
        <f>団体情報・入力の仕方!$C$3</f>
        <v>0</v>
      </c>
      <c r="Z3" s="1201"/>
      <c r="AA3" s="1201"/>
    </row>
    <row r="4" spans="1:29" ht="27" customHeight="1" thickBot="1" x14ac:dyDescent="0.2">
      <c r="A4" s="1036" t="s">
        <v>1178</v>
      </c>
      <c r="B4" s="1037"/>
      <c r="C4" s="1038" t="s">
        <v>27</v>
      </c>
      <c r="D4" s="1039"/>
      <c r="E4" s="1040">
        <f>団体情報・入力の仕方!$C$4</f>
        <v>0</v>
      </c>
      <c r="F4" s="1040"/>
      <c r="G4" s="1040"/>
      <c r="H4" s="1040"/>
      <c r="I4" s="1040"/>
      <c r="J4" s="1040"/>
      <c r="K4" s="1040"/>
      <c r="L4" s="1040"/>
      <c r="M4" s="1040"/>
      <c r="O4" s="1208" t="s">
        <v>363</v>
      </c>
      <c r="P4" s="1039"/>
      <c r="Q4" s="1201">
        <f>団体情報・入力の仕方!$C$7</f>
        <v>0</v>
      </c>
      <c r="R4" s="1201"/>
      <c r="S4" s="1201"/>
      <c r="T4" s="1201"/>
      <c r="V4" s="1208" t="s">
        <v>364</v>
      </c>
      <c r="W4" s="1208"/>
      <c r="X4" s="1208"/>
      <c r="Y4" s="1204">
        <f>団体情報・入力の仕方!$J$7</f>
        <v>0</v>
      </c>
      <c r="Z4" s="1204"/>
      <c r="AA4" s="1204"/>
    </row>
    <row r="5" spans="1:29" customFormat="1" ht="20.100000000000001" customHeight="1" thickBot="1" x14ac:dyDescent="0.2"/>
    <row r="6" spans="1:29" customFormat="1" ht="20.100000000000001" hidden="1" customHeight="1" thickBot="1" x14ac:dyDescent="0.2">
      <c r="A6" s="12" t="s">
        <v>724</v>
      </c>
      <c r="B6" s="1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2"/>
    </row>
    <row r="7" spans="1:29" customFormat="1" ht="38.25" hidden="1" customHeight="1" thickBot="1" x14ac:dyDescent="0.2">
      <c r="C7" s="361"/>
      <c r="D7" s="361"/>
      <c r="E7" s="202" t="s">
        <v>49</v>
      </c>
      <c r="F7" s="1041" t="s">
        <v>958</v>
      </c>
      <c r="G7" s="1041"/>
      <c r="H7" s="1041"/>
      <c r="I7" s="1041" t="s">
        <v>959</v>
      </c>
      <c r="J7" s="1041"/>
      <c r="K7" s="1041"/>
      <c r="L7" s="1042" t="s">
        <v>960</v>
      </c>
      <c r="M7" s="1042"/>
      <c r="N7" s="1042"/>
      <c r="O7" s="1042" t="s">
        <v>961</v>
      </c>
      <c r="P7" s="1042"/>
      <c r="Q7" s="1042"/>
      <c r="R7" s="1042" t="s">
        <v>962</v>
      </c>
      <c r="S7" s="1042"/>
      <c r="T7" s="1042"/>
      <c r="U7" s="203" t="s">
        <v>29</v>
      </c>
      <c r="V7" s="598"/>
      <c r="W7" s="599"/>
      <c r="X7" s="600"/>
      <c r="Y7" s="2"/>
    </row>
    <row r="8" spans="1:29" customFormat="1" ht="25.5" hidden="1" customHeight="1" thickTop="1" x14ac:dyDescent="0.15">
      <c r="A8" s="1142" t="s">
        <v>581</v>
      </c>
      <c r="B8" s="1143"/>
      <c r="C8" s="1058" t="s">
        <v>16</v>
      </c>
      <c r="D8" s="1152"/>
      <c r="E8" s="165"/>
      <c r="F8" s="1018">
        <f>入力シート!$CQ$72</f>
        <v>0</v>
      </c>
      <c r="G8" s="1018"/>
      <c r="H8" s="1018"/>
      <c r="I8" s="1018">
        <f>入力シート!$CQ$73</f>
        <v>0</v>
      </c>
      <c r="J8" s="1018"/>
      <c r="K8" s="1018"/>
      <c r="L8" s="1018">
        <f>入力シート!$CQ$74</f>
        <v>0</v>
      </c>
      <c r="M8" s="1018"/>
      <c r="N8" s="1018"/>
      <c r="O8" s="1018">
        <f>入力シート!$CQ$75</f>
        <v>0</v>
      </c>
      <c r="P8" s="1018"/>
      <c r="Q8" s="1018"/>
      <c r="R8" s="1018">
        <f>入力シート!$CQ$76</f>
        <v>0</v>
      </c>
      <c r="S8" s="1018"/>
      <c r="T8" s="1018"/>
      <c r="U8" s="374">
        <f t="shared" ref="U8:U13" si="0">SUM(C8:T8)</f>
        <v>0</v>
      </c>
      <c r="V8" s="601"/>
      <c r="W8" s="602"/>
      <c r="X8" s="603"/>
      <c r="Y8" s="2"/>
      <c r="Z8" s="2"/>
      <c r="AA8" s="2"/>
    </row>
    <row r="9" spans="1:29" customFormat="1" ht="25.5" hidden="1" customHeight="1" x14ac:dyDescent="0.15">
      <c r="A9" s="1144"/>
      <c r="B9" s="1145"/>
      <c r="C9" s="1013" t="s">
        <v>19</v>
      </c>
      <c r="D9" s="1014"/>
      <c r="E9" s="16"/>
      <c r="F9" s="1159">
        <f>入力シート!$CS$73</f>
        <v>0</v>
      </c>
      <c r="G9" s="1160"/>
      <c r="H9" s="1160"/>
      <c r="I9" s="1160"/>
      <c r="J9" s="1160"/>
      <c r="K9" s="1161"/>
      <c r="L9" s="1018">
        <f>入力シート!$CS$74</f>
        <v>0</v>
      </c>
      <c r="M9" s="1018"/>
      <c r="N9" s="1018"/>
      <c r="O9" s="1018">
        <f>入力シート!$CS$75</f>
        <v>0</v>
      </c>
      <c r="P9" s="1018"/>
      <c r="Q9" s="1018"/>
      <c r="R9" s="1018">
        <f>入力シート!$CS$76</f>
        <v>0</v>
      </c>
      <c r="S9" s="1018"/>
      <c r="T9" s="1018"/>
      <c r="U9" s="373">
        <f t="shared" si="0"/>
        <v>0</v>
      </c>
      <c r="V9" s="601"/>
      <c r="W9" s="602"/>
      <c r="X9" s="603"/>
      <c r="Y9" s="2"/>
      <c r="Z9" s="2"/>
      <c r="AA9" s="2"/>
    </row>
    <row r="10" spans="1:29" customFormat="1" ht="25.5" hidden="1" customHeight="1" thickBot="1" x14ac:dyDescent="0.2">
      <c r="A10" s="1144"/>
      <c r="B10" s="1145"/>
      <c r="C10" s="1013" t="s">
        <v>365</v>
      </c>
      <c r="D10" s="1014"/>
      <c r="E10" s="16"/>
      <c r="F10" s="1159">
        <f>入力シート!$CU$73</f>
        <v>0</v>
      </c>
      <c r="G10" s="1160"/>
      <c r="H10" s="1160"/>
      <c r="I10" s="1160"/>
      <c r="J10" s="1160"/>
      <c r="K10" s="1161"/>
      <c r="L10" s="1018">
        <f>入力シート!$CU$74</f>
        <v>0</v>
      </c>
      <c r="M10" s="1018"/>
      <c r="N10" s="1018"/>
      <c r="O10" s="1018">
        <f>入力シート!$CU$75</f>
        <v>0</v>
      </c>
      <c r="P10" s="1018"/>
      <c r="Q10" s="1018"/>
      <c r="R10" s="1018">
        <f>入力シート!$CU$76</f>
        <v>0</v>
      </c>
      <c r="S10" s="1018"/>
      <c r="T10" s="1018"/>
      <c r="U10" s="373">
        <f t="shared" si="0"/>
        <v>0</v>
      </c>
      <c r="V10" s="601"/>
      <c r="W10" s="602"/>
      <c r="X10" s="603"/>
      <c r="Y10" s="2"/>
      <c r="Z10" s="2"/>
      <c r="AA10" s="2"/>
      <c r="AB10" s="2"/>
      <c r="AC10" s="2"/>
    </row>
    <row r="11" spans="1:29" customFormat="1" ht="25.5" hidden="1" customHeight="1" thickTop="1" x14ac:dyDescent="0.15">
      <c r="A11" s="1144"/>
      <c r="B11" s="1145"/>
      <c r="C11" s="1046" t="s">
        <v>76</v>
      </c>
      <c r="D11" s="1047"/>
      <c r="E11" s="16"/>
      <c r="F11" s="1159">
        <f>入力シート!$CW$73</f>
        <v>0</v>
      </c>
      <c r="G11" s="1160"/>
      <c r="H11" s="1160"/>
      <c r="I11" s="1160"/>
      <c r="J11" s="1160"/>
      <c r="K11" s="1161"/>
      <c r="L11" s="1018">
        <f>入力シート!$CW$74</f>
        <v>0</v>
      </c>
      <c r="M11" s="1018"/>
      <c r="N11" s="1018"/>
      <c r="O11" s="1018">
        <f>入力シート!$CW$75</f>
        <v>0</v>
      </c>
      <c r="P11" s="1018"/>
      <c r="Q11" s="1018"/>
      <c r="R11" s="1018">
        <f>入力シート!$CW$76</f>
        <v>0</v>
      </c>
      <c r="S11" s="1018"/>
      <c r="T11" s="1018"/>
      <c r="U11" s="373">
        <f t="shared" si="0"/>
        <v>0</v>
      </c>
      <c r="V11" s="601"/>
      <c r="W11" s="602"/>
      <c r="X11" s="603"/>
      <c r="Y11" s="2"/>
      <c r="Z11" s="996" t="s">
        <v>161</v>
      </c>
      <c r="AA11" s="997"/>
      <c r="AB11" s="2"/>
      <c r="AC11" s="2"/>
    </row>
    <row r="12" spans="1:29" customFormat="1" ht="25.5" hidden="1" customHeight="1" x14ac:dyDescent="0.15">
      <c r="A12" s="1144"/>
      <c r="B12" s="1145"/>
      <c r="C12" s="1013" t="s">
        <v>75</v>
      </c>
      <c r="D12" s="1014"/>
      <c r="E12" s="143"/>
      <c r="F12" s="1159">
        <f>入力シート!$CY$73</f>
        <v>0</v>
      </c>
      <c r="G12" s="1160"/>
      <c r="H12" s="1160"/>
      <c r="I12" s="1160"/>
      <c r="J12" s="1160"/>
      <c r="K12" s="1161"/>
      <c r="L12" s="1018">
        <f>入力シート!$CY$74</f>
        <v>0</v>
      </c>
      <c r="M12" s="1018"/>
      <c r="N12" s="1018"/>
      <c r="O12" s="1018">
        <f>入力シート!$CY$75</f>
        <v>0</v>
      </c>
      <c r="P12" s="1018"/>
      <c r="Q12" s="1018"/>
      <c r="R12" s="1018">
        <f>入力シート!$CY$76</f>
        <v>0</v>
      </c>
      <c r="S12" s="1018"/>
      <c r="T12" s="1018"/>
      <c r="U12" s="373">
        <f t="shared" si="0"/>
        <v>0</v>
      </c>
      <c r="V12" s="601"/>
      <c r="W12" s="602"/>
      <c r="X12" s="603"/>
      <c r="Y12" s="2"/>
      <c r="Z12" s="998">
        <f>SUM(U8:U13)</f>
        <v>0</v>
      </c>
      <c r="AA12" s="999"/>
      <c r="AB12" s="2"/>
      <c r="AC12" s="2"/>
    </row>
    <row r="13" spans="1:29" customFormat="1" ht="25.5" hidden="1" customHeight="1" thickBot="1" x14ac:dyDescent="0.2">
      <c r="A13" s="1146"/>
      <c r="B13" s="1147"/>
      <c r="C13" s="1011" t="s">
        <v>318</v>
      </c>
      <c r="D13" s="1012"/>
      <c r="E13" s="17"/>
      <c r="F13" s="1048">
        <f>入力シート!$DG$73</f>
        <v>0</v>
      </c>
      <c r="G13" s="1049"/>
      <c r="H13" s="1049"/>
      <c r="I13" s="1049"/>
      <c r="J13" s="1049"/>
      <c r="K13" s="1050"/>
      <c r="L13" s="1196">
        <f>入力シート!$DG$74</f>
        <v>0</v>
      </c>
      <c r="M13" s="1196"/>
      <c r="N13" s="1196"/>
      <c r="O13" s="1196">
        <f>入力シート!$DG$75</f>
        <v>0</v>
      </c>
      <c r="P13" s="1196"/>
      <c r="Q13" s="1196"/>
      <c r="R13" s="1196">
        <f>入力シート!$DG$76</f>
        <v>0</v>
      </c>
      <c r="S13" s="1196"/>
      <c r="T13" s="1196"/>
      <c r="U13" s="357">
        <f t="shared" si="0"/>
        <v>0</v>
      </c>
      <c r="V13" s="601"/>
      <c r="W13" s="602"/>
      <c r="X13" s="603"/>
      <c r="Y13" s="2"/>
      <c r="Z13" s="1000"/>
      <c r="AA13" s="1001"/>
    </row>
    <row r="14" spans="1:29" customFormat="1" ht="15" hidden="1" thickBot="1" x14ac:dyDescent="0.2">
      <c r="AA14" s="188"/>
    </row>
    <row r="15" spans="1:29" customFormat="1" ht="20.25" customHeight="1" x14ac:dyDescent="0.15">
      <c r="E15" s="1015" t="s">
        <v>49</v>
      </c>
      <c r="F15" s="1210" t="s">
        <v>1044</v>
      </c>
      <c r="G15" s="1210"/>
      <c r="H15" s="1210"/>
      <c r="I15" s="1210" t="s">
        <v>1051</v>
      </c>
      <c r="J15" s="1210"/>
      <c r="K15" s="1210"/>
      <c r="L15" s="1213" t="s">
        <v>1046</v>
      </c>
      <c r="M15" s="1213"/>
      <c r="N15" s="1213"/>
      <c r="O15" s="1213" t="s">
        <v>1047</v>
      </c>
      <c r="P15" s="1213"/>
      <c r="Q15" s="1213"/>
      <c r="R15" s="1213" t="s">
        <v>1048</v>
      </c>
      <c r="S15" s="1213"/>
      <c r="T15" s="1213"/>
      <c r="U15" s="1211" t="s">
        <v>1049</v>
      </c>
      <c r="V15" s="1212"/>
      <c r="W15" s="1212"/>
      <c r="X15" s="1176" t="s">
        <v>29</v>
      </c>
      <c r="Y15" s="2"/>
      <c r="AA15" s="2"/>
      <c r="AB15" s="2"/>
    </row>
    <row r="16" spans="1:29" customFormat="1" ht="20.25" customHeight="1" thickBot="1" x14ac:dyDescent="0.2">
      <c r="E16" s="1016"/>
      <c r="F16" s="1076" t="s">
        <v>1045</v>
      </c>
      <c r="G16" s="1076"/>
      <c r="H16" s="1076"/>
      <c r="I16" s="1076"/>
      <c r="J16" s="1076"/>
      <c r="K16" s="1076"/>
      <c r="L16" s="1043" t="s">
        <v>1046</v>
      </c>
      <c r="M16" s="1044"/>
      <c r="N16" s="1045"/>
      <c r="O16" s="1043" t="s">
        <v>1047</v>
      </c>
      <c r="P16" s="1044"/>
      <c r="Q16" s="1045"/>
      <c r="R16" s="1043" t="s">
        <v>1050</v>
      </c>
      <c r="S16" s="1044"/>
      <c r="T16" s="1044"/>
      <c r="U16" s="1044"/>
      <c r="V16" s="1044"/>
      <c r="W16" s="1044"/>
      <c r="X16" s="1178"/>
      <c r="Y16" s="2"/>
      <c r="AA16" s="2"/>
      <c r="AB16" s="2"/>
    </row>
    <row r="17" spans="1:29" customFormat="1" ht="26.25" customHeight="1" thickTop="1" x14ac:dyDescent="0.15">
      <c r="A17" s="1142" t="s">
        <v>55</v>
      </c>
      <c r="B17" s="1143"/>
      <c r="C17" s="1058" t="s">
        <v>16</v>
      </c>
      <c r="D17" s="1152"/>
      <c r="E17" s="26" t="s">
        <v>17</v>
      </c>
      <c r="F17" s="1018">
        <f>入力シート!$FE$72</f>
        <v>0</v>
      </c>
      <c r="G17" s="1018"/>
      <c r="H17" s="1018"/>
      <c r="I17" s="1018">
        <f>入力シート!$FE$73</f>
        <v>0</v>
      </c>
      <c r="J17" s="1018"/>
      <c r="K17" s="1018"/>
      <c r="L17" s="1018">
        <f>入力シート!$FE$74</f>
        <v>0</v>
      </c>
      <c r="M17" s="1018"/>
      <c r="N17" s="1018"/>
      <c r="O17" s="1018">
        <f>入力シート!$FE$75</f>
        <v>0</v>
      </c>
      <c r="P17" s="1018"/>
      <c r="Q17" s="1018"/>
      <c r="R17" s="1018">
        <f>入力シート!$FE$76</f>
        <v>0</v>
      </c>
      <c r="S17" s="1018"/>
      <c r="T17" s="1018"/>
      <c r="U17" s="1018">
        <f>入力シート!$FE$77</f>
        <v>0</v>
      </c>
      <c r="V17" s="1018"/>
      <c r="W17" s="1155"/>
      <c r="X17" s="1202">
        <f>SUM(F17:W18)</f>
        <v>0</v>
      </c>
      <c r="Y17" s="2"/>
      <c r="AC17" s="2"/>
    </row>
    <row r="18" spans="1:29" customFormat="1" ht="26.25" customHeight="1" x14ac:dyDescent="0.15">
      <c r="A18" s="1144"/>
      <c r="B18" s="1145"/>
      <c r="C18" s="1153"/>
      <c r="D18" s="1154"/>
      <c r="E18" s="26" t="s">
        <v>468</v>
      </c>
      <c r="F18" s="1017">
        <f>入力シート!$FE$78</f>
        <v>0</v>
      </c>
      <c r="G18" s="1017"/>
      <c r="H18" s="1017"/>
      <c r="I18" s="1017"/>
      <c r="J18" s="1017"/>
      <c r="K18" s="1017"/>
      <c r="L18" s="1159">
        <f>入力シート!$FE$79</f>
        <v>0</v>
      </c>
      <c r="M18" s="1160"/>
      <c r="N18" s="1161"/>
      <c r="O18" s="1159">
        <f>入力シート!$FE$80</f>
        <v>0</v>
      </c>
      <c r="P18" s="1160"/>
      <c r="Q18" s="1161"/>
      <c r="R18" s="1017">
        <f>入力シート!$FE$81</f>
        <v>0</v>
      </c>
      <c r="S18" s="1017"/>
      <c r="T18" s="1017"/>
      <c r="U18" s="1017"/>
      <c r="V18" s="1017"/>
      <c r="W18" s="1159"/>
      <c r="X18" s="1203"/>
      <c r="Y18" s="2"/>
      <c r="AA18" s="2"/>
      <c r="AB18" s="2"/>
      <c r="AC18" s="2"/>
    </row>
    <row r="19" spans="1:29" customFormat="1" ht="26.25" customHeight="1" x14ac:dyDescent="0.15">
      <c r="A19" s="1144"/>
      <c r="B19" s="1145"/>
      <c r="C19" s="1157" t="s">
        <v>315</v>
      </c>
      <c r="D19" s="1158"/>
      <c r="E19" s="26" t="s">
        <v>17</v>
      </c>
      <c r="F19" s="1017">
        <f>入力シート!$FG$73</f>
        <v>0</v>
      </c>
      <c r="G19" s="1017"/>
      <c r="H19" s="1017"/>
      <c r="I19" s="1017"/>
      <c r="J19" s="1017"/>
      <c r="K19" s="1017"/>
      <c r="L19" s="1018">
        <f>入力シート!$FG$74</f>
        <v>0</v>
      </c>
      <c r="M19" s="1018"/>
      <c r="N19" s="1018"/>
      <c r="O19" s="1018">
        <f>入力シート!$FG$75</f>
        <v>0</v>
      </c>
      <c r="P19" s="1018"/>
      <c r="Q19" s="1018"/>
      <c r="R19" s="1018">
        <f>入力シート!$FG$76</f>
        <v>0</v>
      </c>
      <c r="S19" s="1018"/>
      <c r="T19" s="1018"/>
      <c r="U19" s="1018">
        <f>入力シート!$FG$77</f>
        <v>0</v>
      </c>
      <c r="V19" s="1018"/>
      <c r="W19" s="1155"/>
      <c r="X19" s="1186">
        <f>SUM(F19:W20)</f>
        <v>0</v>
      </c>
      <c r="Y19" s="2"/>
      <c r="AA19" s="2"/>
      <c r="AB19" s="2"/>
      <c r="AC19" s="2"/>
    </row>
    <row r="20" spans="1:29" customFormat="1" ht="26.25" customHeight="1" x14ac:dyDescent="0.15">
      <c r="A20" s="1144"/>
      <c r="B20" s="1145"/>
      <c r="C20" s="1046"/>
      <c r="D20" s="1047"/>
      <c r="E20" s="26" t="s">
        <v>468</v>
      </c>
      <c r="F20" s="1017">
        <f>入力シート!$FG$78</f>
        <v>0</v>
      </c>
      <c r="G20" s="1017"/>
      <c r="H20" s="1017"/>
      <c r="I20" s="1017"/>
      <c r="J20" s="1017"/>
      <c r="K20" s="1017"/>
      <c r="L20" s="1159">
        <f>入力シート!$FG$79</f>
        <v>0</v>
      </c>
      <c r="M20" s="1160"/>
      <c r="N20" s="1161"/>
      <c r="O20" s="1159">
        <f>入力シート!$FG$80</f>
        <v>0</v>
      </c>
      <c r="P20" s="1160"/>
      <c r="Q20" s="1161"/>
      <c r="R20" s="1017">
        <f>入力シート!$FG$81</f>
        <v>0</v>
      </c>
      <c r="S20" s="1017"/>
      <c r="T20" s="1017"/>
      <c r="U20" s="1017"/>
      <c r="V20" s="1017"/>
      <c r="W20" s="1159"/>
      <c r="X20" s="1187"/>
      <c r="Y20" s="2"/>
    </row>
    <row r="21" spans="1:29" customFormat="1" ht="26.25" customHeight="1" x14ac:dyDescent="0.15">
      <c r="A21" s="1144"/>
      <c r="B21" s="1145"/>
      <c r="C21" s="1153" t="s">
        <v>319</v>
      </c>
      <c r="D21" s="1154"/>
      <c r="E21" s="26" t="s">
        <v>17</v>
      </c>
      <c r="F21" s="1017">
        <f>入力シート!$FI$73</f>
        <v>0</v>
      </c>
      <c r="G21" s="1017"/>
      <c r="H21" s="1017"/>
      <c r="I21" s="1017"/>
      <c r="J21" s="1017"/>
      <c r="K21" s="1017"/>
      <c r="L21" s="1018">
        <f>入力シート!$FI$74</f>
        <v>0</v>
      </c>
      <c r="M21" s="1018"/>
      <c r="N21" s="1018"/>
      <c r="O21" s="1018">
        <f>入力シート!$FI$75</f>
        <v>0</v>
      </c>
      <c r="P21" s="1018"/>
      <c r="Q21" s="1018"/>
      <c r="R21" s="1018">
        <f>入力シート!$FI$76</f>
        <v>0</v>
      </c>
      <c r="S21" s="1018"/>
      <c r="T21" s="1018"/>
      <c r="U21" s="1018">
        <f>入力シート!$FI$77</f>
        <v>0</v>
      </c>
      <c r="V21" s="1018"/>
      <c r="W21" s="1155"/>
      <c r="X21" s="1186">
        <f>SUM(F21:W22)</f>
        <v>0</v>
      </c>
      <c r="Y21" s="2"/>
    </row>
    <row r="22" spans="1:29" customFormat="1" ht="26.25" customHeight="1" thickBot="1" x14ac:dyDescent="0.2">
      <c r="A22" s="1144"/>
      <c r="B22" s="1145"/>
      <c r="C22" s="1046"/>
      <c r="D22" s="1047"/>
      <c r="E22" s="26" t="s">
        <v>468</v>
      </c>
      <c r="F22" s="1017">
        <f>入力シート!$FI$78</f>
        <v>0</v>
      </c>
      <c r="G22" s="1017"/>
      <c r="H22" s="1017"/>
      <c r="I22" s="1017"/>
      <c r="J22" s="1017"/>
      <c r="K22" s="1017"/>
      <c r="L22" s="1159">
        <f>入力シート!$FI$79</f>
        <v>0</v>
      </c>
      <c r="M22" s="1160"/>
      <c r="N22" s="1161"/>
      <c r="O22" s="1159">
        <f>入力シート!$FI$80</f>
        <v>0</v>
      </c>
      <c r="P22" s="1160"/>
      <c r="Q22" s="1161"/>
      <c r="R22" s="1017">
        <f>入力シート!$FI$81</f>
        <v>0</v>
      </c>
      <c r="S22" s="1017"/>
      <c r="T22" s="1017"/>
      <c r="U22" s="1017"/>
      <c r="V22" s="1017"/>
      <c r="W22" s="1159"/>
      <c r="X22" s="1187"/>
      <c r="Y22" s="2"/>
    </row>
    <row r="23" spans="1:29" customFormat="1" ht="26.25" customHeight="1" thickTop="1" x14ac:dyDescent="0.15">
      <c r="A23" s="1144"/>
      <c r="B23" s="1145"/>
      <c r="C23" s="1046" t="s">
        <v>317</v>
      </c>
      <c r="D23" s="1047"/>
      <c r="E23" s="16"/>
      <c r="F23" s="1017">
        <f>入力シート!$FL$73</f>
        <v>0</v>
      </c>
      <c r="G23" s="1017"/>
      <c r="H23" s="1017"/>
      <c r="I23" s="1017"/>
      <c r="J23" s="1017"/>
      <c r="K23" s="1017"/>
      <c r="L23" s="1018">
        <f>入力シート!$FL$74</f>
        <v>0</v>
      </c>
      <c r="M23" s="1018"/>
      <c r="N23" s="1018"/>
      <c r="O23" s="1018">
        <f>入力シート!$FL$75</f>
        <v>0</v>
      </c>
      <c r="P23" s="1018"/>
      <c r="Q23" s="1018"/>
      <c r="R23" s="1018">
        <f>入力シート!$FL$76</f>
        <v>0</v>
      </c>
      <c r="S23" s="1018"/>
      <c r="T23" s="1018"/>
      <c r="U23" s="1018">
        <f>入力シート!$FL$77</f>
        <v>0</v>
      </c>
      <c r="V23" s="1018"/>
      <c r="W23" s="1155"/>
      <c r="X23" s="373">
        <f>SUM(F23:W23)</f>
        <v>0</v>
      </c>
      <c r="Y23" s="2"/>
      <c r="Z23" s="996" t="s">
        <v>61</v>
      </c>
      <c r="AA23" s="997"/>
    </row>
    <row r="24" spans="1:29" customFormat="1" ht="26.25" customHeight="1" x14ac:dyDescent="0.15">
      <c r="A24" s="1144"/>
      <c r="B24" s="1145"/>
      <c r="C24" s="1150" t="s">
        <v>316</v>
      </c>
      <c r="D24" s="1151"/>
      <c r="E24" s="16"/>
      <c r="F24" s="1017">
        <f>入力シート!$FN$73</f>
        <v>0</v>
      </c>
      <c r="G24" s="1017"/>
      <c r="H24" s="1017"/>
      <c r="I24" s="1017"/>
      <c r="J24" s="1017"/>
      <c r="K24" s="1017"/>
      <c r="L24" s="1017">
        <f>入力シート!$FN$74</f>
        <v>0</v>
      </c>
      <c r="M24" s="1017"/>
      <c r="N24" s="1017"/>
      <c r="O24" s="1017">
        <f>入力シート!$FN$75</f>
        <v>0</v>
      </c>
      <c r="P24" s="1017"/>
      <c r="Q24" s="1017"/>
      <c r="R24" s="1017">
        <f>入力シート!$FN$76</f>
        <v>0</v>
      </c>
      <c r="S24" s="1017"/>
      <c r="T24" s="1017"/>
      <c r="U24" s="1017">
        <f>入力シート!$FN$77</f>
        <v>0</v>
      </c>
      <c r="V24" s="1017"/>
      <c r="W24" s="1159"/>
      <c r="X24" s="373">
        <f>SUM(F24:W24)</f>
        <v>0</v>
      </c>
      <c r="Y24" s="2"/>
      <c r="Z24" s="998">
        <f>SUM(X17:X25)</f>
        <v>0</v>
      </c>
      <c r="AA24" s="999"/>
    </row>
    <row r="25" spans="1:29" customFormat="1" ht="26.25" customHeight="1" thickBot="1" x14ac:dyDescent="0.2">
      <c r="A25" s="1146"/>
      <c r="B25" s="1147"/>
      <c r="C25" s="1011" t="s">
        <v>318</v>
      </c>
      <c r="D25" s="1012"/>
      <c r="E25" s="17"/>
      <c r="F25" s="1196">
        <f>入力シート!$FV$73</f>
        <v>0</v>
      </c>
      <c r="G25" s="1196"/>
      <c r="H25" s="1196"/>
      <c r="I25" s="1196"/>
      <c r="J25" s="1196"/>
      <c r="K25" s="1196"/>
      <c r="L25" s="1170">
        <f>入力シート!$FV$74</f>
        <v>0</v>
      </c>
      <c r="M25" s="1170"/>
      <c r="N25" s="1170"/>
      <c r="O25" s="1170">
        <f>入力シート!$FV$75</f>
        <v>0</v>
      </c>
      <c r="P25" s="1170"/>
      <c r="Q25" s="1170"/>
      <c r="R25" s="1170">
        <f>入力シート!$FV$76</f>
        <v>0</v>
      </c>
      <c r="S25" s="1170"/>
      <c r="T25" s="1170"/>
      <c r="U25" s="1170">
        <f>入力シート!$FV$77</f>
        <v>0</v>
      </c>
      <c r="V25" s="1170"/>
      <c r="W25" s="1190"/>
      <c r="X25" s="357">
        <f>SUM(F25:W25)</f>
        <v>0</v>
      </c>
      <c r="Y25" s="2"/>
      <c r="Z25" s="1000"/>
      <c r="AA25" s="1001"/>
    </row>
    <row r="26" spans="1:29" customFormat="1" ht="15" thickBot="1" x14ac:dyDescent="0.2">
      <c r="AA26" s="188"/>
    </row>
    <row r="27" spans="1:29" customFormat="1" ht="19.899999999999999" customHeight="1" x14ac:dyDescent="0.15">
      <c r="C27" s="361"/>
      <c r="D27" s="361"/>
      <c r="E27" s="1166" t="s">
        <v>49</v>
      </c>
      <c r="F27" s="1136" t="s">
        <v>571</v>
      </c>
      <c r="G27" s="1137"/>
      <c r="H27" s="1137"/>
      <c r="I27" s="1137"/>
      <c r="J27" s="1137"/>
      <c r="K27" s="1197"/>
      <c r="L27" s="1136" t="s">
        <v>572</v>
      </c>
      <c r="M27" s="1137"/>
      <c r="N27" s="1137"/>
      <c r="O27" s="1137"/>
      <c r="P27" s="1137"/>
      <c r="Q27" s="1138"/>
      <c r="R27" s="1188" t="s">
        <v>29</v>
      </c>
      <c r="S27" s="599"/>
    </row>
    <row r="28" spans="1:29" customFormat="1" ht="19.899999999999999" customHeight="1" thickBot="1" x14ac:dyDescent="0.2">
      <c r="E28" s="1167"/>
      <c r="F28" s="1139"/>
      <c r="G28" s="1140"/>
      <c r="H28" s="1140"/>
      <c r="I28" s="1140"/>
      <c r="J28" s="1140"/>
      <c r="K28" s="1198"/>
      <c r="L28" s="1139"/>
      <c r="M28" s="1140"/>
      <c r="N28" s="1140"/>
      <c r="O28" s="1140"/>
      <c r="P28" s="1140"/>
      <c r="Q28" s="1141"/>
      <c r="R28" s="1189"/>
      <c r="S28" s="599"/>
      <c r="T28" s="2"/>
      <c r="U28" s="2"/>
    </row>
    <row r="29" spans="1:29" customFormat="1" ht="26.25" hidden="1" customHeight="1" thickTop="1" x14ac:dyDescent="0.2">
      <c r="A29" s="729"/>
      <c r="B29" s="117"/>
      <c r="C29" s="1148" t="s">
        <v>1090</v>
      </c>
      <c r="D29" s="1149"/>
      <c r="E29" s="541" t="s">
        <v>743</v>
      </c>
      <c r="F29" s="1214">
        <f>入力シート!$DL$74</f>
        <v>0</v>
      </c>
      <c r="G29" s="1215"/>
      <c r="H29" s="1215"/>
      <c r="I29" s="1215"/>
      <c r="J29" s="1215"/>
      <c r="K29" s="1216"/>
      <c r="L29" s="1214">
        <f>入力シート!$DL$76</f>
        <v>0</v>
      </c>
      <c r="M29" s="1215"/>
      <c r="N29" s="1215"/>
      <c r="O29" s="1215"/>
      <c r="P29" s="1215"/>
      <c r="Q29" s="1217"/>
      <c r="R29" s="196">
        <f t="shared" ref="R29:R30" si="1">SUM(F29:Q29)</f>
        <v>0</v>
      </c>
      <c r="S29" s="632"/>
      <c r="T29" s="2"/>
      <c r="U29" s="634"/>
    </row>
    <row r="30" spans="1:29" customFormat="1" ht="26.25" hidden="1" customHeight="1" x14ac:dyDescent="0.2">
      <c r="A30" s="730"/>
      <c r="B30" s="731"/>
      <c r="C30" s="1013"/>
      <c r="D30" s="1014"/>
      <c r="E30" s="15" t="s">
        <v>560</v>
      </c>
      <c r="F30" s="1162">
        <f>入力シート!$DL$75</f>
        <v>0</v>
      </c>
      <c r="G30" s="1162"/>
      <c r="H30" s="1162"/>
      <c r="I30" s="1162"/>
      <c r="J30" s="1162"/>
      <c r="K30" s="1162"/>
      <c r="L30" s="1163">
        <f>入力シート!$DL$78</f>
        <v>0</v>
      </c>
      <c r="M30" s="1164"/>
      <c r="N30" s="1164"/>
      <c r="O30" s="1164"/>
      <c r="P30" s="1164"/>
      <c r="Q30" s="1165"/>
      <c r="R30" s="196">
        <f t="shared" si="1"/>
        <v>0</v>
      </c>
      <c r="S30" s="632"/>
      <c r="T30" s="2"/>
      <c r="U30" s="634"/>
    </row>
    <row r="31" spans="1:29" customFormat="1" ht="26.25" hidden="1" customHeight="1" x14ac:dyDescent="0.15">
      <c r="A31" s="730"/>
      <c r="B31" s="731"/>
      <c r="C31" s="1013" t="s">
        <v>19</v>
      </c>
      <c r="D31" s="1014"/>
      <c r="E31" s="15" t="s">
        <v>743</v>
      </c>
      <c r="F31" s="1163">
        <f>入力シート!$DN$74</f>
        <v>0</v>
      </c>
      <c r="G31" s="1164"/>
      <c r="H31" s="1164"/>
      <c r="I31" s="1164"/>
      <c r="J31" s="1164"/>
      <c r="K31" s="1199"/>
      <c r="L31" s="1163">
        <f>入力シート!$DN$76</f>
        <v>0</v>
      </c>
      <c r="M31" s="1164"/>
      <c r="N31" s="1164"/>
      <c r="O31" s="1164"/>
      <c r="P31" s="1164"/>
      <c r="Q31" s="1165"/>
      <c r="R31" s="196">
        <f t="shared" ref="R31:R42" si="2">SUM(F31:Q31)</f>
        <v>0</v>
      </c>
      <c r="S31" s="633"/>
      <c r="T31" s="2"/>
      <c r="U31" s="634"/>
    </row>
    <row r="32" spans="1:29" customFormat="1" ht="26.25" hidden="1" customHeight="1" x14ac:dyDescent="0.15">
      <c r="A32" s="730"/>
      <c r="B32" s="731"/>
      <c r="C32" s="1013"/>
      <c r="D32" s="1014"/>
      <c r="E32" s="15" t="s">
        <v>560</v>
      </c>
      <c r="F32" s="1163">
        <f>入力シート!$DN$75</f>
        <v>0</v>
      </c>
      <c r="G32" s="1164"/>
      <c r="H32" s="1164"/>
      <c r="I32" s="1164"/>
      <c r="J32" s="1164"/>
      <c r="K32" s="1199"/>
      <c r="L32" s="1163">
        <f>入力シート!$DN$78</f>
        <v>0</v>
      </c>
      <c r="M32" s="1164"/>
      <c r="N32" s="1164"/>
      <c r="O32" s="1164"/>
      <c r="P32" s="1164"/>
      <c r="Q32" s="1165"/>
      <c r="R32" s="196">
        <f t="shared" si="2"/>
        <v>0</v>
      </c>
      <c r="S32" s="633"/>
      <c r="T32" s="2"/>
      <c r="U32" s="634"/>
    </row>
    <row r="33" spans="1:27" customFormat="1" ht="26.25" hidden="1" customHeight="1" x14ac:dyDescent="0.15">
      <c r="A33" s="730"/>
      <c r="B33" s="731"/>
      <c r="C33" s="1013" t="s">
        <v>30</v>
      </c>
      <c r="D33" s="1014"/>
      <c r="E33" s="15" t="s">
        <v>743</v>
      </c>
      <c r="F33" s="1163">
        <f>入力シート!$DP$74</f>
        <v>0</v>
      </c>
      <c r="G33" s="1164"/>
      <c r="H33" s="1164"/>
      <c r="I33" s="1164"/>
      <c r="J33" s="1164"/>
      <c r="K33" s="1199"/>
      <c r="L33" s="1163">
        <f>入力シート!$DP$76</f>
        <v>0</v>
      </c>
      <c r="M33" s="1164"/>
      <c r="N33" s="1164"/>
      <c r="O33" s="1164"/>
      <c r="P33" s="1164"/>
      <c r="Q33" s="1165"/>
      <c r="R33" s="196">
        <f t="shared" si="2"/>
        <v>0</v>
      </c>
      <c r="S33" s="633"/>
      <c r="T33" s="2"/>
      <c r="U33" s="634"/>
    </row>
    <row r="34" spans="1:27" customFormat="1" ht="26.25" hidden="1" customHeight="1" x14ac:dyDescent="0.15">
      <c r="A34" s="730"/>
      <c r="B34" s="731"/>
      <c r="C34" s="1157"/>
      <c r="D34" s="1158"/>
      <c r="E34" s="715" t="s">
        <v>560</v>
      </c>
      <c r="F34" s="1226">
        <f>入力シート!$DP$75</f>
        <v>0</v>
      </c>
      <c r="G34" s="1227"/>
      <c r="H34" s="1227"/>
      <c r="I34" s="1227"/>
      <c r="J34" s="1227"/>
      <c r="K34" s="1228"/>
      <c r="L34" s="1226">
        <f>入力シート!$DP$78</f>
        <v>0</v>
      </c>
      <c r="M34" s="1227"/>
      <c r="N34" s="1227"/>
      <c r="O34" s="1227"/>
      <c r="P34" s="1227"/>
      <c r="Q34" s="1229"/>
      <c r="R34" s="540">
        <f t="shared" si="2"/>
        <v>0</v>
      </c>
      <c r="S34" s="633"/>
      <c r="T34" s="2"/>
      <c r="U34" s="634"/>
    </row>
    <row r="35" spans="1:27" customFormat="1" ht="26.25" customHeight="1" thickTop="1" x14ac:dyDescent="0.15">
      <c r="A35" s="1002" t="s">
        <v>733</v>
      </c>
      <c r="B35" s="1003"/>
      <c r="C35" s="1168" t="s">
        <v>1179</v>
      </c>
      <c r="D35" s="1168"/>
      <c r="E35" s="541" t="s">
        <v>743</v>
      </c>
      <c r="F35" s="1230">
        <f>入力シート!$DR$74</f>
        <v>0</v>
      </c>
      <c r="G35" s="1230"/>
      <c r="H35" s="1230"/>
      <c r="I35" s="1230"/>
      <c r="J35" s="1230"/>
      <c r="K35" s="1230"/>
      <c r="L35" s="1230">
        <f>入力シート!$DR$76</f>
        <v>0</v>
      </c>
      <c r="M35" s="1230"/>
      <c r="N35" s="1230"/>
      <c r="O35" s="1230"/>
      <c r="P35" s="1230"/>
      <c r="Q35" s="1231"/>
      <c r="R35" s="734">
        <f t="shared" ref="R35:R36" si="3">SUM(F35:Q35)</f>
        <v>0</v>
      </c>
      <c r="S35" s="633"/>
      <c r="T35" s="2"/>
      <c r="U35" s="634"/>
      <c r="Z35" s="996" t="s">
        <v>856</v>
      </c>
      <c r="AA35" s="997"/>
    </row>
    <row r="36" spans="1:27" customFormat="1" ht="26.25" customHeight="1" x14ac:dyDescent="0.15">
      <c r="A36" s="1004"/>
      <c r="B36" s="1005"/>
      <c r="C36" s="1169"/>
      <c r="D36" s="1169"/>
      <c r="E36" s="15" t="s">
        <v>560</v>
      </c>
      <c r="F36" s="1162">
        <f>入力シート!$DR$75</f>
        <v>0</v>
      </c>
      <c r="G36" s="1162"/>
      <c r="H36" s="1162"/>
      <c r="I36" s="1162"/>
      <c r="J36" s="1162"/>
      <c r="K36" s="1162"/>
      <c r="L36" s="1162">
        <f>入力シート!$DR$78</f>
        <v>0</v>
      </c>
      <c r="M36" s="1162"/>
      <c r="N36" s="1162"/>
      <c r="O36" s="1162"/>
      <c r="P36" s="1162"/>
      <c r="Q36" s="1163"/>
      <c r="R36" s="735">
        <f t="shared" si="3"/>
        <v>0</v>
      </c>
      <c r="S36" s="633"/>
      <c r="T36" s="2"/>
      <c r="U36" s="634"/>
      <c r="Z36" s="998">
        <f>SUM($R$29:$R$41)</f>
        <v>0</v>
      </c>
      <c r="AA36" s="999"/>
    </row>
    <row r="37" spans="1:27" customFormat="1" ht="26.25" customHeight="1" thickBot="1" x14ac:dyDescent="0.2">
      <c r="A37" s="1004"/>
      <c r="B37" s="1005"/>
      <c r="C37" s="1169" t="s">
        <v>1180</v>
      </c>
      <c r="D37" s="1169"/>
      <c r="E37" s="16"/>
      <c r="F37" s="1162">
        <f>入力シート!$DY$73</f>
        <v>0</v>
      </c>
      <c r="G37" s="1162"/>
      <c r="H37" s="1162"/>
      <c r="I37" s="1162"/>
      <c r="J37" s="1162"/>
      <c r="K37" s="1162"/>
      <c r="L37" s="1162">
        <f>入力シート!$DY$74</f>
        <v>0</v>
      </c>
      <c r="M37" s="1162"/>
      <c r="N37" s="1162"/>
      <c r="O37" s="1162"/>
      <c r="P37" s="1162"/>
      <c r="Q37" s="1163"/>
      <c r="R37" s="735">
        <f t="shared" ref="R37" si="4">SUM(F37:Q37)</f>
        <v>0</v>
      </c>
      <c r="S37" s="633"/>
      <c r="T37" s="2"/>
      <c r="U37" s="634"/>
      <c r="Z37" s="1000"/>
      <c r="AA37" s="1001"/>
    </row>
    <row r="38" spans="1:27" customFormat="1" ht="26.25" hidden="1" customHeight="1" thickTop="1" x14ac:dyDescent="0.15">
      <c r="A38" s="1004"/>
      <c r="B38" s="1005"/>
      <c r="C38" s="1169" t="s">
        <v>1091</v>
      </c>
      <c r="D38" s="1169"/>
      <c r="E38" s="16"/>
      <c r="F38" s="1162">
        <f>入力シート!EH73</f>
        <v>0</v>
      </c>
      <c r="G38" s="1162"/>
      <c r="H38" s="1162"/>
      <c r="I38" s="1162"/>
      <c r="J38" s="1162"/>
      <c r="K38" s="1162"/>
      <c r="L38" s="1162">
        <f>入力シート!EH74</f>
        <v>0</v>
      </c>
      <c r="M38" s="1162"/>
      <c r="N38" s="1162"/>
      <c r="O38" s="1162"/>
      <c r="P38" s="1162"/>
      <c r="Q38" s="1163"/>
      <c r="R38" s="735">
        <f t="shared" si="2"/>
        <v>0</v>
      </c>
      <c r="S38" s="633"/>
      <c r="T38" s="2"/>
      <c r="U38" s="631"/>
    </row>
    <row r="39" spans="1:27" customFormat="1" ht="26.25" hidden="1" customHeight="1" x14ac:dyDescent="0.15">
      <c r="A39" s="1004"/>
      <c r="B39" s="1005"/>
      <c r="C39" s="1169" t="s">
        <v>1095</v>
      </c>
      <c r="D39" s="1169"/>
      <c r="E39" s="16"/>
      <c r="F39" s="1162">
        <f>入力シート!$EO$72</f>
        <v>0</v>
      </c>
      <c r="G39" s="1162"/>
      <c r="H39" s="1162"/>
      <c r="I39" s="1162"/>
      <c r="J39" s="1162"/>
      <c r="K39" s="1162"/>
      <c r="L39" s="1162"/>
      <c r="M39" s="1162"/>
      <c r="N39" s="1162"/>
      <c r="O39" s="1162"/>
      <c r="P39" s="1162"/>
      <c r="Q39" s="1163"/>
      <c r="R39" s="735">
        <f t="shared" si="2"/>
        <v>0</v>
      </c>
      <c r="S39" s="633"/>
      <c r="T39" s="2"/>
      <c r="U39" s="631"/>
      <c r="Z39" s="733"/>
      <c r="AA39" s="733"/>
    </row>
    <row r="40" spans="1:27" customFormat="1" ht="26.25" customHeight="1" thickTop="1" thickBot="1" x14ac:dyDescent="0.25">
      <c r="A40" s="1006"/>
      <c r="B40" s="1007"/>
      <c r="C40" s="1156" t="s">
        <v>1181</v>
      </c>
      <c r="D40" s="1156"/>
      <c r="E40" s="17"/>
      <c r="F40" s="1235">
        <f>入力シート!$EU$72</f>
        <v>0</v>
      </c>
      <c r="G40" s="1235"/>
      <c r="H40" s="1235"/>
      <c r="I40" s="1235"/>
      <c r="J40" s="1235"/>
      <c r="K40" s="1235"/>
      <c r="L40" s="1235"/>
      <c r="M40" s="1235"/>
      <c r="N40" s="1235"/>
      <c r="O40" s="1235"/>
      <c r="P40" s="1235"/>
      <c r="Q40" s="1236"/>
      <c r="R40" s="595">
        <f t="shared" si="2"/>
        <v>0</v>
      </c>
      <c r="S40" s="632"/>
      <c r="T40" s="2"/>
      <c r="U40" s="2"/>
      <c r="Z40" s="608"/>
      <c r="AA40" s="608"/>
    </row>
    <row r="41" spans="1:27" customFormat="1" ht="26.25" hidden="1" customHeight="1" thickBot="1" x14ac:dyDescent="0.25">
      <c r="A41" s="596"/>
      <c r="B41" s="732"/>
      <c r="C41" s="1133" t="s">
        <v>1096</v>
      </c>
      <c r="D41" s="1134"/>
      <c r="E41" s="172"/>
      <c r="F41" s="1193">
        <f>入力シート!$FA$76</f>
        <v>0</v>
      </c>
      <c r="G41" s="1194"/>
      <c r="H41" s="1194"/>
      <c r="I41" s="1194"/>
      <c r="J41" s="1194"/>
      <c r="K41" s="1194"/>
      <c r="L41" s="1194"/>
      <c r="M41" s="1194"/>
      <c r="N41" s="1194"/>
      <c r="O41" s="1194"/>
      <c r="P41" s="1194"/>
      <c r="Q41" s="1195"/>
      <c r="R41" s="197">
        <f t="shared" si="2"/>
        <v>0</v>
      </c>
      <c r="S41" s="632"/>
      <c r="T41" s="2"/>
      <c r="U41" s="2"/>
      <c r="Z41" s="608"/>
      <c r="AA41" s="608"/>
    </row>
    <row r="42" spans="1:27" customFormat="1" ht="26.25" hidden="1" customHeight="1" thickTop="1" thickBot="1" x14ac:dyDescent="0.2">
      <c r="A42" s="596"/>
      <c r="B42" s="597"/>
      <c r="C42" s="1133" t="s">
        <v>744</v>
      </c>
      <c r="D42" s="1134"/>
      <c r="E42" s="172"/>
      <c r="F42" s="1193">
        <f>入力シート!$EU$72</f>
        <v>0</v>
      </c>
      <c r="G42" s="1194"/>
      <c r="H42" s="1194"/>
      <c r="I42" s="1194"/>
      <c r="J42" s="1194"/>
      <c r="K42" s="1194"/>
      <c r="L42" s="1194"/>
      <c r="M42" s="1194"/>
      <c r="N42" s="1194"/>
      <c r="O42" s="1194"/>
      <c r="P42" s="1194"/>
      <c r="Q42" s="1195"/>
      <c r="R42" s="197">
        <f t="shared" si="2"/>
        <v>0</v>
      </c>
      <c r="S42" s="2"/>
      <c r="T42" s="2"/>
      <c r="U42" s="2"/>
      <c r="Z42" s="608"/>
      <c r="AA42" s="608"/>
    </row>
    <row r="43" spans="1:27" customFormat="1" ht="15" hidden="1" thickBot="1" x14ac:dyDescent="0.2">
      <c r="AA43" s="188"/>
    </row>
    <row r="44" spans="1:27" customFormat="1" ht="20.100000000000001" hidden="1" customHeight="1" thickBot="1" x14ac:dyDescent="0.2">
      <c r="A44" s="12"/>
      <c r="B44" s="12"/>
      <c r="E44" s="1"/>
      <c r="F44" s="1054" t="s">
        <v>576</v>
      </c>
      <c r="G44" s="1055"/>
      <c r="H44" s="1112"/>
      <c r="I44" s="1054" t="s">
        <v>1</v>
      </c>
      <c r="J44" s="1055"/>
      <c r="K44" s="1055"/>
      <c r="L44" s="1055"/>
      <c r="M44" s="1055"/>
      <c r="N44" s="1112"/>
      <c r="O44" s="1054" t="s">
        <v>2</v>
      </c>
      <c r="P44" s="1055"/>
      <c r="Q44" s="1112"/>
      <c r="R44" s="1054" t="s">
        <v>3</v>
      </c>
      <c r="S44" s="1055"/>
      <c r="T44" s="1112"/>
      <c r="U44" s="1054" t="s">
        <v>574</v>
      </c>
      <c r="V44" s="1055"/>
      <c r="W44" s="1056"/>
      <c r="X44" s="1176" t="s">
        <v>29</v>
      </c>
    </row>
    <row r="45" spans="1:27" customFormat="1" ht="20.100000000000001" hidden="1" customHeight="1" x14ac:dyDescent="0.15">
      <c r="E45" s="14" t="s">
        <v>48</v>
      </c>
      <c r="F45" s="1106" t="s">
        <v>38</v>
      </c>
      <c r="G45" s="1107"/>
      <c r="H45" s="1108"/>
      <c r="I45" s="13" t="s">
        <v>4</v>
      </c>
      <c r="J45" s="13" t="s">
        <v>5</v>
      </c>
      <c r="K45" s="13" t="s">
        <v>6</v>
      </c>
      <c r="L45" s="13" t="s">
        <v>7</v>
      </c>
      <c r="M45" s="13" t="s">
        <v>8</v>
      </c>
      <c r="N45" s="13" t="s">
        <v>9</v>
      </c>
      <c r="O45" s="13" t="s">
        <v>10</v>
      </c>
      <c r="P45" s="13" t="s">
        <v>11</v>
      </c>
      <c r="Q45" s="13" t="s">
        <v>12</v>
      </c>
      <c r="R45" s="13" t="s">
        <v>13</v>
      </c>
      <c r="S45" s="13" t="s">
        <v>14</v>
      </c>
      <c r="T45" s="13" t="s">
        <v>15</v>
      </c>
      <c r="U45" s="1106" t="s">
        <v>573</v>
      </c>
      <c r="V45" s="1107"/>
      <c r="W45" s="1179"/>
      <c r="X45" s="1177"/>
    </row>
    <row r="46" spans="1:27" customFormat="1" ht="19.5" hidden="1" customHeight="1" thickBot="1" x14ac:dyDescent="0.2">
      <c r="E46" s="189" t="s">
        <v>49</v>
      </c>
      <c r="F46" s="1076" t="s">
        <v>577</v>
      </c>
      <c r="G46" s="1076"/>
      <c r="H46" s="1076"/>
      <c r="I46" s="1076" t="s">
        <v>21</v>
      </c>
      <c r="J46" s="1076"/>
      <c r="K46" s="1076"/>
      <c r="L46" s="1076" t="s">
        <v>22</v>
      </c>
      <c r="M46" s="1076"/>
      <c r="N46" s="1076"/>
      <c r="O46" s="1076" t="s">
        <v>23</v>
      </c>
      <c r="P46" s="1076"/>
      <c r="Q46" s="1076"/>
      <c r="R46" s="1076" t="s">
        <v>24</v>
      </c>
      <c r="S46" s="1076"/>
      <c r="T46" s="1076"/>
      <c r="U46" s="1043" t="s">
        <v>575</v>
      </c>
      <c r="V46" s="1044"/>
      <c r="W46" s="1185"/>
      <c r="X46" s="1178"/>
      <c r="Y46" s="2"/>
    </row>
    <row r="47" spans="1:27" customFormat="1" ht="26.25" hidden="1" customHeight="1" thickTop="1" thickBot="1" x14ac:dyDescent="0.2">
      <c r="A47" s="1113" t="s">
        <v>578</v>
      </c>
      <c r="B47" s="1115"/>
      <c r="C47" s="1135" t="s">
        <v>39</v>
      </c>
      <c r="D47" s="1059"/>
      <c r="E47" s="26" t="s">
        <v>40</v>
      </c>
      <c r="F47" s="1191">
        <f>入力シート!$BP$73</f>
        <v>0</v>
      </c>
      <c r="G47" s="1192"/>
      <c r="H47" s="1200"/>
      <c r="I47" s="1182">
        <f>入力シート!$BP$75</f>
        <v>0</v>
      </c>
      <c r="J47" s="1182"/>
      <c r="K47" s="1182"/>
      <c r="L47" s="1182">
        <f>入力シート!$BP$77</f>
        <v>0</v>
      </c>
      <c r="M47" s="1182"/>
      <c r="N47" s="1182"/>
      <c r="O47" s="1182">
        <f>入力シート!$BP$79</f>
        <v>0</v>
      </c>
      <c r="P47" s="1182"/>
      <c r="Q47" s="1182"/>
      <c r="R47" s="1182">
        <f>入力シート!$BP$81</f>
        <v>0</v>
      </c>
      <c r="S47" s="1182"/>
      <c r="T47" s="1182"/>
      <c r="U47" s="1191">
        <f>入力シート!$BP$83</f>
        <v>0</v>
      </c>
      <c r="V47" s="1192"/>
      <c r="W47" s="1192"/>
      <c r="X47" s="193">
        <f t="shared" ref="X47:X52" si="5">SUM(F47:W47)</f>
        <v>0</v>
      </c>
    </row>
    <row r="48" spans="1:27" customFormat="1" ht="26.25" hidden="1" customHeight="1" thickTop="1" x14ac:dyDescent="0.15">
      <c r="A48" s="1116"/>
      <c r="B48" s="1118"/>
      <c r="C48" s="1060"/>
      <c r="D48" s="1061"/>
      <c r="E48" s="15" t="s">
        <v>42</v>
      </c>
      <c r="F48" s="1019">
        <f>入力シート!$BQ$73</f>
        <v>0</v>
      </c>
      <c r="G48" s="1020"/>
      <c r="H48" s="1021"/>
      <c r="I48" s="1019">
        <f>入力シート!$BQ$75</f>
        <v>0</v>
      </c>
      <c r="J48" s="1020"/>
      <c r="K48" s="1021"/>
      <c r="L48" s="1019">
        <f>入力シート!$BQ$77</f>
        <v>0</v>
      </c>
      <c r="M48" s="1020"/>
      <c r="N48" s="1021"/>
      <c r="O48" s="1019">
        <f>入力シート!$BQ$79</f>
        <v>0</v>
      </c>
      <c r="P48" s="1020"/>
      <c r="Q48" s="1021"/>
      <c r="R48" s="1019">
        <f>入力シート!$BQ$81</f>
        <v>0</v>
      </c>
      <c r="S48" s="1020"/>
      <c r="T48" s="1021"/>
      <c r="U48" s="1077">
        <f>入力シート!$BQ$83</f>
        <v>0</v>
      </c>
      <c r="V48" s="1078"/>
      <c r="W48" s="1078"/>
      <c r="X48" s="194">
        <f t="shared" si="5"/>
        <v>0</v>
      </c>
      <c r="Z48" s="996" t="s">
        <v>59</v>
      </c>
      <c r="AA48" s="997"/>
    </row>
    <row r="49" spans="1:32" customFormat="1" ht="26.25" hidden="1" customHeight="1" x14ac:dyDescent="0.15">
      <c r="A49" s="1116"/>
      <c r="B49" s="1118"/>
      <c r="C49" s="1060"/>
      <c r="D49" s="1061"/>
      <c r="E49" s="15" t="s">
        <v>44</v>
      </c>
      <c r="F49" s="1019">
        <f>入力シート!$BR$73</f>
        <v>0</v>
      </c>
      <c r="G49" s="1020"/>
      <c r="H49" s="1021"/>
      <c r="I49" s="1019">
        <f>入力シート!$BR$75</f>
        <v>0</v>
      </c>
      <c r="J49" s="1020"/>
      <c r="K49" s="1021"/>
      <c r="L49" s="1019">
        <f>入力シート!$BR$77</f>
        <v>0</v>
      </c>
      <c r="M49" s="1020"/>
      <c r="N49" s="1021"/>
      <c r="O49" s="1019">
        <f>入力シート!$BR$79</f>
        <v>0</v>
      </c>
      <c r="P49" s="1020"/>
      <c r="Q49" s="1021"/>
      <c r="R49" s="1019">
        <f>入力シート!$BR$81</f>
        <v>0</v>
      </c>
      <c r="S49" s="1020"/>
      <c r="T49" s="1021"/>
      <c r="U49" s="1019">
        <f>入力シート!$BR$83</f>
        <v>0</v>
      </c>
      <c r="V49" s="1020"/>
      <c r="W49" s="1020"/>
      <c r="X49" s="194">
        <f t="shared" si="5"/>
        <v>0</v>
      </c>
      <c r="Z49" s="998">
        <f>SUM(X47:X50)</f>
        <v>0</v>
      </c>
      <c r="AA49" s="999"/>
    </row>
    <row r="50" spans="1:32" customFormat="1" ht="26.25" hidden="1" customHeight="1" thickBot="1" x14ac:dyDescent="0.2">
      <c r="A50" s="1119"/>
      <c r="B50" s="1121"/>
      <c r="C50" s="1102"/>
      <c r="D50" s="1103"/>
      <c r="E50" s="66" t="s">
        <v>46</v>
      </c>
      <c r="F50" s="1051">
        <f>入力シート!$BS$73</f>
        <v>0</v>
      </c>
      <c r="G50" s="1052"/>
      <c r="H50" s="1053"/>
      <c r="I50" s="1051">
        <f>入力シート!$BS$75</f>
        <v>0</v>
      </c>
      <c r="J50" s="1052"/>
      <c r="K50" s="1053"/>
      <c r="L50" s="1051">
        <f>入力シート!$BS$77</f>
        <v>0</v>
      </c>
      <c r="M50" s="1052"/>
      <c r="N50" s="1053"/>
      <c r="O50" s="1051">
        <f>入力シート!$BS$79</f>
        <v>0</v>
      </c>
      <c r="P50" s="1052"/>
      <c r="Q50" s="1053"/>
      <c r="R50" s="1051">
        <f>入力シート!$BS$81</f>
        <v>0</v>
      </c>
      <c r="S50" s="1052"/>
      <c r="T50" s="1053"/>
      <c r="U50" s="1051">
        <f>入力シート!$BS$83</f>
        <v>0</v>
      </c>
      <c r="V50" s="1052"/>
      <c r="W50" s="1053"/>
      <c r="X50" s="195">
        <f t="shared" si="5"/>
        <v>0</v>
      </c>
      <c r="Z50" s="1000"/>
      <c r="AA50" s="1001"/>
    </row>
    <row r="51" spans="1:32" customFormat="1" ht="26.25" hidden="1" customHeight="1" thickTop="1" x14ac:dyDescent="0.15">
      <c r="A51" s="604"/>
      <c r="B51" s="605"/>
      <c r="C51" s="1060" t="s">
        <v>51</v>
      </c>
      <c r="D51" s="1061"/>
      <c r="E51" s="26" t="s">
        <v>42</v>
      </c>
      <c r="F51" s="1077">
        <f>入力シート!$BT$73</f>
        <v>0</v>
      </c>
      <c r="G51" s="1078"/>
      <c r="H51" s="1079"/>
      <c r="I51" s="1077">
        <f>入力シート!$BT$75</f>
        <v>0</v>
      </c>
      <c r="J51" s="1078"/>
      <c r="K51" s="1079"/>
      <c r="L51" s="1077">
        <f>入力シート!$BT$77</f>
        <v>0</v>
      </c>
      <c r="M51" s="1078"/>
      <c r="N51" s="1079"/>
      <c r="O51" s="1077">
        <f>入力シート!$BT$79</f>
        <v>0</v>
      </c>
      <c r="P51" s="1078"/>
      <c r="Q51" s="1079"/>
      <c r="R51" s="1077">
        <f>入力シート!$BT$81</f>
        <v>0</v>
      </c>
      <c r="S51" s="1078"/>
      <c r="T51" s="1079"/>
      <c r="U51" s="1077">
        <f>入力シート!$BT$83</f>
        <v>0</v>
      </c>
      <c r="V51" s="1078"/>
      <c r="W51" s="1183"/>
      <c r="X51" s="193">
        <f t="shared" si="5"/>
        <v>0</v>
      </c>
      <c r="Z51" s="594"/>
      <c r="AA51" s="594"/>
    </row>
    <row r="52" spans="1:32" customFormat="1" ht="26.25" hidden="1" customHeight="1" thickBot="1" x14ac:dyDescent="0.2">
      <c r="A52" s="606"/>
      <c r="B52" s="607"/>
      <c r="C52" s="1102"/>
      <c r="D52" s="1103"/>
      <c r="E52" s="66" t="s">
        <v>44</v>
      </c>
      <c r="F52" s="1051">
        <f>入力シート!$BU$73</f>
        <v>0</v>
      </c>
      <c r="G52" s="1052"/>
      <c r="H52" s="1053"/>
      <c r="I52" s="1051">
        <f>入力シート!$BU$75</f>
        <v>0</v>
      </c>
      <c r="J52" s="1052"/>
      <c r="K52" s="1053"/>
      <c r="L52" s="1051">
        <f>入力シート!$BU$77</f>
        <v>0</v>
      </c>
      <c r="M52" s="1052"/>
      <c r="N52" s="1053"/>
      <c r="O52" s="1051">
        <f>入力シート!$BU$79</f>
        <v>0</v>
      </c>
      <c r="P52" s="1052"/>
      <c r="Q52" s="1053"/>
      <c r="R52" s="1051">
        <f>入力シート!$BU$81</f>
        <v>0</v>
      </c>
      <c r="S52" s="1052"/>
      <c r="T52" s="1053"/>
      <c r="U52" s="1051">
        <f>入力シート!$BU$83</f>
        <v>0</v>
      </c>
      <c r="V52" s="1052"/>
      <c r="W52" s="1057"/>
      <c r="X52" s="195">
        <f t="shared" si="5"/>
        <v>0</v>
      </c>
      <c r="Z52" s="608"/>
      <c r="AA52" s="608"/>
    </row>
    <row r="53" spans="1:32" customFormat="1" ht="6" customHeight="1" thickBot="1" x14ac:dyDescent="0.2">
      <c r="E53" s="1"/>
    </row>
    <row r="54" spans="1:32" customFormat="1" ht="36.75" customHeight="1" thickBot="1" x14ac:dyDescent="0.2">
      <c r="A54" s="620" t="s">
        <v>723</v>
      </c>
      <c r="B54" s="621"/>
      <c r="E54" s="1"/>
      <c r="W54" s="1129" t="s">
        <v>325</v>
      </c>
      <c r="X54" s="1130"/>
      <c r="Y54" s="1126">
        <f>団体情報・入力の仕方!$G$3</f>
        <v>0</v>
      </c>
      <c r="Z54" s="1127"/>
      <c r="AA54" s="1128"/>
      <c r="AB54" s="2"/>
      <c r="AC54" s="2"/>
    </row>
    <row r="55" spans="1:32" customFormat="1" ht="6.75" customHeight="1" thickBot="1" x14ac:dyDescent="0.2">
      <c r="A55" s="12"/>
      <c r="E55" s="1"/>
      <c r="Y55" s="245"/>
      <c r="Z55" s="245"/>
      <c r="AA55" s="8"/>
      <c r="AB55" s="8"/>
      <c r="AC55" s="8"/>
    </row>
    <row r="56" spans="1:32" customFormat="1" ht="20.100000000000001" customHeight="1" thickBot="1" x14ac:dyDescent="0.2">
      <c r="A56" s="361"/>
      <c r="B56" s="12"/>
      <c r="E56" s="1"/>
      <c r="F56" s="1111" t="s">
        <v>576</v>
      </c>
      <c r="G56" s="1055"/>
      <c r="H56" s="1112"/>
      <c r="I56" s="1054" t="s">
        <v>1</v>
      </c>
      <c r="J56" s="1055"/>
      <c r="K56" s="1055"/>
      <c r="L56" s="1055"/>
      <c r="M56" s="1055"/>
      <c r="N56" s="1112"/>
      <c r="O56" s="1054" t="s">
        <v>2</v>
      </c>
      <c r="P56" s="1055"/>
      <c r="Q56" s="1112"/>
      <c r="R56" s="1054" t="s">
        <v>3</v>
      </c>
      <c r="S56" s="1055"/>
      <c r="T56" s="1112"/>
      <c r="U56" s="1054" t="s">
        <v>574</v>
      </c>
      <c r="V56" s="1055"/>
      <c r="W56" s="1056"/>
      <c r="X56" s="1176" t="s">
        <v>29</v>
      </c>
    </row>
    <row r="57" spans="1:32" customFormat="1" ht="20.100000000000001" customHeight="1" x14ac:dyDescent="0.15">
      <c r="E57" s="14" t="s">
        <v>48</v>
      </c>
      <c r="F57" s="1106" t="s">
        <v>38</v>
      </c>
      <c r="G57" s="1107"/>
      <c r="H57" s="1108"/>
      <c r="I57" s="13" t="s">
        <v>4</v>
      </c>
      <c r="J57" s="13" t="s">
        <v>5</v>
      </c>
      <c r="K57" s="13" t="s">
        <v>6</v>
      </c>
      <c r="L57" s="13" t="s">
        <v>7</v>
      </c>
      <c r="M57" s="13" t="s">
        <v>8</v>
      </c>
      <c r="N57" s="13" t="s">
        <v>9</v>
      </c>
      <c r="O57" s="13" t="s">
        <v>10</v>
      </c>
      <c r="P57" s="13" t="s">
        <v>11</v>
      </c>
      <c r="Q57" s="13" t="s">
        <v>12</v>
      </c>
      <c r="R57" s="13" t="s">
        <v>13</v>
      </c>
      <c r="S57" s="13" t="s">
        <v>14</v>
      </c>
      <c r="T57" s="13" t="s">
        <v>15</v>
      </c>
      <c r="U57" s="1106" t="s">
        <v>573</v>
      </c>
      <c r="V57" s="1107"/>
      <c r="W57" s="1179"/>
      <c r="X57" s="1177"/>
      <c r="AB57" s="2"/>
      <c r="AC57" s="2"/>
      <c r="AD57" s="2"/>
      <c r="AE57" s="2"/>
      <c r="AF57" s="2"/>
    </row>
    <row r="58" spans="1:32" customFormat="1" ht="19.5" customHeight="1" thickBot="1" x14ac:dyDescent="0.2">
      <c r="E58" s="189" t="s">
        <v>49</v>
      </c>
      <c r="F58" s="1076" t="s">
        <v>577</v>
      </c>
      <c r="G58" s="1076"/>
      <c r="H58" s="1076"/>
      <c r="I58" s="1076" t="s">
        <v>21</v>
      </c>
      <c r="J58" s="1076"/>
      <c r="K58" s="1076"/>
      <c r="L58" s="1076" t="s">
        <v>22</v>
      </c>
      <c r="M58" s="1076"/>
      <c r="N58" s="1076"/>
      <c r="O58" s="1076" t="s">
        <v>23</v>
      </c>
      <c r="P58" s="1076"/>
      <c r="Q58" s="1076"/>
      <c r="R58" s="1076" t="s">
        <v>24</v>
      </c>
      <c r="S58" s="1076"/>
      <c r="T58" s="1076"/>
      <c r="U58" s="1043" t="s">
        <v>575</v>
      </c>
      <c r="V58" s="1044"/>
      <c r="W58" s="1185"/>
      <c r="X58" s="1178"/>
      <c r="Y58" s="2"/>
    </row>
    <row r="59" spans="1:32" customFormat="1" ht="26.25" customHeight="1" thickTop="1" thickBot="1" x14ac:dyDescent="0.2">
      <c r="A59" s="1113" t="s">
        <v>578</v>
      </c>
      <c r="B59" s="1114"/>
      <c r="C59" s="1114"/>
      <c r="D59" s="1115"/>
      <c r="E59" s="26" t="s">
        <v>40</v>
      </c>
      <c r="F59" s="1073">
        <f>入力シート!$BV$73</f>
        <v>0</v>
      </c>
      <c r="G59" s="1074"/>
      <c r="H59" s="1075"/>
      <c r="I59" s="1073">
        <f>入力シート!$BV$75</f>
        <v>0</v>
      </c>
      <c r="J59" s="1074"/>
      <c r="K59" s="1075"/>
      <c r="L59" s="1073">
        <f>入力シート!$BV$77</f>
        <v>0</v>
      </c>
      <c r="M59" s="1074"/>
      <c r="N59" s="1075"/>
      <c r="O59" s="1073">
        <f>入力シート!$BV$79</f>
        <v>0</v>
      </c>
      <c r="P59" s="1074"/>
      <c r="Q59" s="1075"/>
      <c r="R59" s="1073">
        <f>入力シート!$BV$81</f>
        <v>0</v>
      </c>
      <c r="S59" s="1074"/>
      <c r="T59" s="1075"/>
      <c r="U59" s="1073">
        <f>入力シート!$BV$83</f>
        <v>0</v>
      </c>
      <c r="V59" s="1074"/>
      <c r="W59" s="1075"/>
      <c r="X59" s="193">
        <f t="shared" ref="X59:X64" si="6">SUM(F59:W59)</f>
        <v>0</v>
      </c>
    </row>
    <row r="60" spans="1:32" customFormat="1" ht="26.25" customHeight="1" thickTop="1" x14ac:dyDescent="0.15">
      <c r="A60" s="1116"/>
      <c r="B60" s="1117"/>
      <c r="C60" s="1117"/>
      <c r="D60" s="1118"/>
      <c r="E60" s="15" t="s">
        <v>42</v>
      </c>
      <c r="F60" s="1104">
        <f>入力シート!$BW$73</f>
        <v>0</v>
      </c>
      <c r="G60" s="1104"/>
      <c r="H60" s="1104"/>
      <c r="I60" s="1104">
        <f>入力シート!$BW$75</f>
        <v>0</v>
      </c>
      <c r="J60" s="1104"/>
      <c r="K60" s="1104"/>
      <c r="L60" s="1104">
        <f>入力シート!$BW$77</f>
        <v>0</v>
      </c>
      <c r="M60" s="1104"/>
      <c r="N60" s="1104"/>
      <c r="O60" s="1104">
        <f>入力シート!$BW$79</f>
        <v>0</v>
      </c>
      <c r="P60" s="1104"/>
      <c r="Q60" s="1104"/>
      <c r="R60" s="1104">
        <f>入力シート!$BW$81</f>
        <v>0</v>
      </c>
      <c r="S60" s="1104"/>
      <c r="T60" s="1104"/>
      <c r="U60" s="1104">
        <f>入力シート!$BW$83</f>
        <v>0</v>
      </c>
      <c r="V60" s="1104"/>
      <c r="W60" s="1104"/>
      <c r="X60" s="194">
        <f t="shared" si="6"/>
        <v>0</v>
      </c>
      <c r="Z60" s="996" t="s">
        <v>59</v>
      </c>
      <c r="AA60" s="997"/>
    </row>
    <row r="61" spans="1:32" customFormat="1" ht="26.25" customHeight="1" x14ac:dyDescent="0.15">
      <c r="A61" s="1116"/>
      <c r="B61" s="1117"/>
      <c r="C61" s="1117"/>
      <c r="D61" s="1118"/>
      <c r="E61" s="15" t="s">
        <v>44</v>
      </c>
      <c r="F61" s="1104">
        <f>入力シート!$BX$73</f>
        <v>0</v>
      </c>
      <c r="G61" s="1104"/>
      <c r="H61" s="1104"/>
      <c r="I61" s="1104">
        <f>入力シート!$BX$75</f>
        <v>0</v>
      </c>
      <c r="J61" s="1104"/>
      <c r="K61" s="1104"/>
      <c r="L61" s="1104">
        <f>入力シート!$BX$77</f>
        <v>0</v>
      </c>
      <c r="M61" s="1104"/>
      <c r="N61" s="1104"/>
      <c r="O61" s="1104">
        <f>入力シート!$BX$79</f>
        <v>0</v>
      </c>
      <c r="P61" s="1104"/>
      <c r="Q61" s="1104"/>
      <c r="R61" s="1104">
        <f>入力シート!$BX$81</f>
        <v>0</v>
      </c>
      <c r="S61" s="1104"/>
      <c r="T61" s="1104"/>
      <c r="U61" s="1104">
        <f>入力シート!$BX$83</f>
        <v>0</v>
      </c>
      <c r="V61" s="1104"/>
      <c r="W61" s="1104"/>
      <c r="X61" s="194">
        <f t="shared" si="6"/>
        <v>0</v>
      </c>
      <c r="Z61" s="998">
        <f>SUM(X59:X62)</f>
        <v>0</v>
      </c>
      <c r="AA61" s="999"/>
    </row>
    <row r="62" spans="1:32" customFormat="1" ht="26.25" customHeight="1" thickBot="1" x14ac:dyDescent="0.2">
      <c r="A62" s="1119"/>
      <c r="B62" s="1120"/>
      <c r="C62" s="1120"/>
      <c r="D62" s="1121"/>
      <c r="E62" s="66" t="s">
        <v>46</v>
      </c>
      <c r="F62" s="1105">
        <f>入力シート!$BY$73</f>
        <v>0</v>
      </c>
      <c r="G62" s="1105"/>
      <c r="H62" s="1105"/>
      <c r="I62" s="1105">
        <f>入力シート!$BY$75</f>
        <v>0</v>
      </c>
      <c r="J62" s="1105"/>
      <c r="K62" s="1105"/>
      <c r="L62" s="1105">
        <f>入力シート!$BY$77</f>
        <v>0</v>
      </c>
      <c r="M62" s="1105"/>
      <c r="N62" s="1105"/>
      <c r="O62" s="1105">
        <f>入力シート!$BY$79</f>
        <v>0</v>
      </c>
      <c r="P62" s="1105"/>
      <c r="Q62" s="1105"/>
      <c r="R62" s="1105">
        <f>入力シート!$BY$81</f>
        <v>0</v>
      </c>
      <c r="S62" s="1105"/>
      <c r="T62" s="1105"/>
      <c r="U62" s="1105">
        <f>入力シート!$BY$83</f>
        <v>0</v>
      </c>
      <c r="V62" s="1105"/>
      <c r="W62" s="1105"/>
      <c r="X62" s="195">
        <f t="shared" si="6"/>
        <v>0</v>
      </c>
      <c r="Z62" s="1000"/>
      <c r="AA62" s="1001"/>
      <c r="AD62" s="2"/>
      <c r="AE62" s="2"/>
    </row>
    <row r="63" spans="1:32" customFormat="1" ht="26.25" hidden="1" customHeight="1" thickTop="1" x14ac:dyDescent="0.15">
      <c r="A63" s="604"/>
      <c r="B63" s="605"/>
      <c r="C63" s="1060" t="s">
        <v>51</v>
      </c>
      <c r="D63" s="1061"/>
      <c r="E63" s="26" t="s">
        <v>42</v>
      </c>
      <c r="F63" s="1182">
        <f>入力シート!$BZ$73</f>
        <v>0</v>
      </c>
      <c r="G63" s="1182"/>
      <c r="H63" s="1182"/>
      <c r="I63" s="1182">
        <f>入力シート!$BZ$75</f>
        <v>0</v>
      </c>
      <c r="J63" s="1182"/>
      <c r="K63" s="1182"/>
      <c r="L63" s="1182">
        <f>入力シート!$BZ$77</f>
        <v>0</v>
      </c>
      <c r="M63" s="1182"/>
      <c r="N63" s="1182"/>
      <c r="O63" s="1182">
        <f>入力シート!$BZ$79</f>
        <v>0</v>
      </c>
      <c r="P63" s="1182"/>
      <c r="Q63" s="1182"/>
      <c r="R63" s="1182">
        <f>入力シート!$BZ$81</f>
        <v>0</v>
      </c>
      <c r="S63" s="1182"/>
      <c r="T63" s="1182"/>
      <c r="U63" s="1182">
        <f>入力シート!$BZ$83</f>
        <v>0</v>
      </c>
      <c r="V63" s="1182"/>
      <c r="W63" s="1182"/>
      <c r="X63" s="193">
        <f t="shared" si="6"/>
        <v>0</v>
      </c>
      <c r="Z63" s="622"/>
      <c r="AA63" s="622"/>
      <c r="AD63" s="2"/>
      <c r="AE63" s="2"/>
    </row>
    <row r="64" spans="1:32" customFormat="1" ht="26.25" hidden="1" customHeight="1" thickBot="1" x14ac:dyDescent="0.2">
      <c r="A64" s="606"/>
      <c r="B64" s="607"/>
      <c r="C64" s="1102"/>
      <c r="D64" s="1103"/>
      <c r="E64" s="66" t="s">
        <v>44</v>
      </c>
      <c r="F64" s="1051">
        <f>入力シート!$CA$73</f>
        <v>0</v>
      </c>
      <c r="G64" s="1052"/>
      <c r="H64" s="1053"/>
      <c r="I64" s="1051">
        <f>入力シート!$CA$75</f>
        <v>0</v>
      </c>
      <c r="J64" s="1052"/>
      <c r="K64" s="1053"/>
      <c r="L64" s="1051">
        <f>入力シート!$CA$77</f>
        <v>0</v>
      </c>
      <c r="M64" s="1052"/>
      <c r="N64" s="1053"/>
      <c r="O64" s="1051">
        <f>入力シート!$CA$79</f>
        <v>0</v>
      </c>
      <c r="P64" s="1052"/>
      <c r="Q64" s="1053"/>
      <c r="R64" s="1051">
        <f>入力シート!$CA$81</f>
        <v>0</v>
      </c>
      <c r="S64" s="1052"/>
      <c r="T64" s="1053"/>
      <c r="U64" s="1051">
        <f>入力シート!$CA$83</f>
        <v>0</v>
      </c>
      <c r="V64" s="1052"/>
      <c r="W64" s="1053"/>
      <c r="X64" s="195">
        <f t="shared" si="6"/>
        <v>0</v>
      </c>
      <c r="Z64" s="2"/>
      <c r="AA64" s="2"/>
      <c r="AD64" s="2"/>
      <c r="AE64" s="2"/>
    </row>
    <row r="65" spans="1:32" customFormat="1" ht="26.25" customHeight="1" thickBot="1" x14ac:dyDescent="0.2">
      <c r="A65" s="694"/>
      <c r="B65" s="694"/>
      <c r="C65" s="1"/>
      <c r="D65" s="1"/>
      <c r="E65" s="1"/>
      <c r="F65" s="695"/>
      <c r="G65" s="695"/>
      <c r="H65" s="695"/>
      <c r="I65" s="695"/>
      <c r="J65" s="695"/>
      <c r="K65" s="695"/>
      <c r="L65" s="695"/>
      <c r="M65" s="695"/>
      <c r="N65" s="695"/>
      <c r="O65" s="695"/>
      <c r="P65" s="695"/>
      <c r="Q65" s="695"/>
      <c r="R65" s="695"/>
      <c r="S65" s="695"/>
      <c r="T65" s="695"/>
      <c r="U65" s="695"/>
      <c r="V65" s="695"/>
      <c r="W65" s="695"/>
      <c r="X65" s="695"/>
      <c r="Z65" s="2"/>
      <c r="AA65" s="2"/>
      <c r="AD65" s="2"/>
      <c r="AE65" s="2"/>
    </row>
    <row r="66" spans="1:32" customFormat="1" ht="33.6" customHeight="1" thickTop="1" thickBot="1" x14ac:dyDescent="0.2">
      <c r="A66" s="360"/>
      <c r="B66" s="360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180" t="s">
        <v>580</v>
      </c>
      <c r="AA66" s="1181"/>
      <c r="AB66" s="1"/>
    </row>
    <row r="67" spans="1:32" customFormat="1" ht="26.25" customHeight="1" thickBot="1" x14ac:dyDescent="0.2">
      <c r="A67" s="1124" t="s">
        <v>579</v>
      </c>
      <c r="B67" s="1125"/>
      <c r="C67" s="1125"/>
      <c r="D67" s="1125"/>
      <c r="E67" s="1125"/>
      <c r="F67" s="1122">
        <f>入力シート!$CB$73</f>
        <v>0</v>
      </c>
      <c r="G67" s="1122"/>
      <c r="H67" s="1123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2"/>
      <c r="Y67" s="2"/>
      <c r="Z67" s="998">
        <f>F67</f>
        <v>0</v>
      </c>
      <c r="AA67" s="999"/>
      <c r="AB67" s="1"/>
    </row>
    <row r="68" spans="1:32" customFormat="1" ht="30" customHeight="1" thickBot="1" x14ac:dyDescent="0.2">
      <c r="F68" s="358"/>
      <c r="G68" s="358"/>
      <c r="H68" s="358"/>
      <c r="I68" s="358"/>
      <c r="J68" s="358"/>
      <c r="K68" s="358"/>
      <c r="L68" s="358"/>
      <c r="M68" s="358"/>
      <c r="N68" s="358"/>
      <c r="O68" s="358"/>
      <c r="P68" s="358"/>
      <c r="Q68" s="358"/>
      <c r="R68" s="358"/>
      <c r="S68" s="358"/>
      <c r="T68" s="358"/>
      <c r="U68" s="358"/>
      <c r="V68" s="358"/>
      <c r="W68" s="358"/>
      <c r="X68" s="358"/>
      <c r="Z68" s="1000"/>
      <c r="AA68" s="1001"/>
    </row>
    <row r="69" spans="1:32" customFormat="1" ht="20.100000000000001" customHeight="1" thickTop="1" thickBot="1" x14ac:dyDescent="0.2">
      <c r="A69" s="361"/>
      <c r="B69" s="12"/>
      <c r="E69" s="1"/>
      <c r="F69" s="1111" t="s">
        <v>576</v>
      </c>
      <c r="G69" s="1055"/>
      <c r="H69" s="1112"/>
      <c r="I69" s="1054" t="s">
        <v>1</v>
      </c>
      <c r="J69" s="1055"/>
      <c r="K69" s="1055"/>
      <c r="L69" s="1055"/>
      <c r="M69" s="1055"/>
      <c r="N69" s="1112"/>
      <c r="O69" s="1054" t="s">
        <v>2</v>
      </c>
      <c r="P69" s="1055"/>
      <c r="Q69" s="1112"/>
      <c r="R69" s="1054" t="s">
        <v>3</v>
      </c>
      <c r="S69" s="1055"/>
      <c r="T69" s="1112"/>
      <c r="U69" s="1054" t="s">
        <v>574</v>
      </c>
      <c r="V69" s="1055"/>
      <c r="W69" s="1056"/>
      <c r="X69" s="1176" t="s">
        <v>29</v>
      </c>
    </row>
    <row r="70" spans="1:32" customFormat="1" ht="20.100000000000001" customHeight="1" x14ac:dyDescent="0.15">
      <c r="E70" s="14" t="s">
        <v>48</v>
      </c>
      <c r="F70" s="1106" t="s">
        <v>38</v>
      </c>
      <c r="G70" s="1107"/>
      <c r="H70" s="1108"/>
      <c r="I70" s="13" t="s">
        <v>4</v>
      </c>
      <c r="J70" s="13" t="s">
        <v>5</v>
      </c>
      <c r="K70" s="13" t="s">
        <v>6</v>
      </c>
      <c r="L70" s="13" t="s">
        <v>7</v>
      </c>
      <c r="M70" s="13" t="s">
        <v>8</v>
      </c>
      <c r="N70" s="13" t="s">
        <v>9</v>
      </c>
      <c r="O70" s="13" t="s">
        <v>10</v>
      </c>
      <c r="P70" s="13" t="s">
        <v>11</v>
      </c>
      <c r="Q70" s="13" t="s">
        <v>12</v>
      </c>
      <c r="R70" s="13" t="s">
        <v>13</v>
      </c>
      <c r="S70" s="13" t="s">
        <v>14</v>
      </c>
      <c r="T70" s="13" t="s">
        <v>15</v>
      </c>
      <c r="U70" s="1106" t="s">
        <v>573</v>
      </c>
      <c r="V70" s="1107"/>
      <c r="W70" s="1179"/>
      <c r="X70" s="1177"/>
      <c r="AB70" s="2"/>
      <c r="AC70" s="2"/>
      <c r="AD70" s="2"/>
      <c r="AE70" s="2"/>
      <c r="AF70" s="2"/>
    </row>
    <row r="71" spans="1:32" customFormat="1" ht="19.5" customHeight="1" thickBot="1" x14ac:dyDescent="0.2">
      <c r="E71" s="189" t="s">
        <v>49</v>
      </c>
      <c r="F71" s="1076" t="s">
        <v>577</v>
      </c>
      <c r="G71" s="1076"/>
      <c r="H71" s="1076"/>
      <c r="I71" s="1076" t="s">
        <v>21</v>
      </c>
      <c r="J71" s="1076"/>
      <c r="K71" s="1076"/>
      <c r="L71" s="1076" t="s">
        <v>22</v>
      </c>
      <c r="M71" s="1076"/>
      <c r="N71" s="1076"/>
      <c r="O71" s="1076" t="s">
        <v>23</v>
      </c>
      <c r="P71" s="1076"/>
      <c r="Q71" s="1076"/>
      <c r="R71" s="1076" t="s">
        <v>24</v>
      </c>
      <c r="S71" s="1076"/>
      <c r="T71" s="1076"/>
      <c r="U71" s="1043" t="s">
        <v>575</v>
      </c>
      <c r="V71" s="1044"/>
      <c r="W71" s="1185"/>
      <c r="X71" s="1178"/>
      <c r="Y71" s="2"/>
    </row>
    <row r="72" spans="1:32" customFormat="1" ht="26.25" customHeight="1" thickTop="1" x14ac:dyDescent="0.15">
      <c r="A72" s="1027" t="s">
        <v>50</v>
      </c>
      <c r="B72" s="1028"/>
      <c r="C72" s="1058" t="s">
        <v>366</v>
      </c>
      <c r="D72" s="1059"/>
      <c r="E72" s="18" t="s">
        <v>40</v>
      </c>
      <c r="F72" s="1022">
        <f>入力シート!$CC$73</f>
        <v>0</v>
      </c>
      <c r="G72" s="1023"/>
      <c r="H72" s="1024"/>
      <c r="I72" s="1022">
        <f>入力シート!$CC$75</f>
        <v>0</v>
      </c>
      <c r="J72" s="1023"/>
      <c r="K72" s="1024"/>
      <c r="L72" s="1022">
        <f>入力シート!$CC$77</f>
        <v>0</v>
      </c>
      <c r="M72" s="1023"/>
      <c r="N72" s="1024"/>
      <c r="O72" s="1022">
        <f>入力シート!$CC$79</f>
        <v>0</v>
      </c>
      <c r="P72" s="1023"/>
      <c r="Q72" s="1024"/>
      <c r="R72" s="1022">
        <f>入力シート!$CC$81</f>
        <v>0</v>
      </c>
      <c r="S72" s="1023"/>
      <c r="T72" s="1024"/>
      <c r="U72" s="1022">
        <f>入力シート!$CC$83</f>
        <v>0</v>
      </c>
      <c r="V72" s="1023"/>
      <c r="W72" s="1184"/>
      <c r="X72" s="359">
        <f>SUM(F72:W72)</f>
        <v>0</v>
      </c>
      <c r="Z72" s="2"/>
      <c r="AA72" s="2"/>
      <c r="AC72" s="2"/>
      <c r="AD72" s="2"/>
    </row>
    <row r="73" spans="1:32" customFormat="1" ht="26.25" customHeight="1" x14ac:dyDescent="0.15">
      <c r="A73" s="1029"/>
      <c r="B73" s="1030"/>
      <c r="C73" s="1060"/>
      <c r="D73" s="1061"/>
      <c r="E73" s="15" t="s">
        <v>42</v>
      </c>
      <c r="F73" s="1077">
        <f>入力シート!$CC$85</f>
        <v>0</v>
      </c>
      <c r="G73" s="1078"/>
      <c r="H73" s="1079"/>
      <c r="I73" s="1019">
        <f>入力シート!$CC$87</f>
        <v>0</v>
      </c>
      <c r="J73" s="1020"/>
      <c r="K73" s="1021"/>
      <c r="L73" s="1019">
        <f>入力シート!$CC$89</f>
        <v>0</v>
      </c>
      <c r="M73" s="1020"/>
      <c r="N73" s="1021"/>
      <c r="O73" s="1019">
        <f>入力シート!$CC$91</f>
        <v>0</v>
      </c>
      <c r="P73" s="1020"/>
      <c r="Q73" s="1021"/>
      <c r="R73" s="1019">
        <f>入力シート!$CC$93</f>
        <v>0</v>
      </c>
      <c r="S73" s="1020"/>
      <c r="T73" s="1021"/>
      <c r="U73" s="1019">
        <f>入力シート!$CC$95</f>
        <v>0</v>
      </c>
      <c r="V73" s="1020"/>
      <c r="W73" s="1175"/>
      <c r="X73" s="194">
        <f>SUM(F73:W73)</f>
        <v>0</v>
      </c>
      <c r="Z73" s="2"/>
      <c r="AA73" s="2"/>
      <c r="AC73" s="2"/>
      <c r="AD73" s="2"/>
    </row>
    <row r="74" spans="1:32" customFormat="1" ht="26.25" customHeight="1" x14ac:dyDescent="0.15">
      <c r="A74" s="1029"/>
      <c r="B74" s="1030"/>
      <c r="C74" s="1060"/>
      <c r="D74" s="1061"/>
      <c r="E74" s="15" t="s">
        <v>44</v>
      </c>
      <c r="F74" s="1077">
        <f>入力シート!$CC$97</f>
        <v>0</v>
      </c>
      <c r="G74" s="1078"/>
      <c r="H74" s="1079"/>
      <c r="I74" s="1019">
        <f>入力シート!$CC$99</f>
        <v>0</v>
      </c>
      <c r="J74" s="1020"/>
      <c r="K74" s="1021"/>
      <c r="L74" s="1019">
        <f>入力シート!$CC$101</f>
        <v>0</v>
      </c>
      <c r="M74" s="1020"/>
      <c r="N74" s="1021"/>
      <c r="O74" s="1019">
        <f>入力シート!$CC$103</f>
        <v>0</v>
      </c>
      <c r="P74" s="1020"/>
      <c r="Q74" s="1021"/>
      <c r="R74" s="1019">
        <f>入力シート!$CC$105</f>
        <v>0</v>
      </c>
      <c r="S74" s="1020"/>
      <c r="T74" s="1021"/>
      <c r="U74" s="1019">
        <f>入力シート!$CC$107</f>
        <v>0</v>
      </c>
      <c r="V74" s="1020"/>
      <c r="W74" s="1175"/>
      <c r="X74" s="194">
        <f>SUM(F74:W74)</f>
        <v>0</v>
      </c>
      <c r="AC74" s="2"/>
      <c r="AD74" s="2"/>
    </row>
    <row r="75" spans="1:32" customFormat="1" ht="26.25" customHeight="1" x14ac:dyDescent="0.15">
      <c r="A75" s="1029"/>
      <c r="B75" s="1030"/>
      <c r="C75" s="1062"/>
      <c r="D75" s="1063"/>
      <c r="E75" s="15" t="s">
        <v>46</v>
      </c>
      <c r="F75" s="1077">
        <f>入力シート!$CC$109</f>
        <v>0</v>
      </c>
      <c r="G75" s="1078"/>
      <c r="H75" s="1079"/>
      <c r="I75" s="1019">
        <f>入力シート!$CC$111</f>
        <v>0</v>
      </c>
      <c r="J75" s="1020"/>
      <c r="K75" s="1021"/>
      <c r="L75" s="1019">
        <f>入力シート!$CC$113</f>
        <v>0</v>
      </c>
      <c r="M75" s="1020"/>
      <c r="N75" s="1021"/>
      <c r="O75" s="1019">
        <f>入力シート!$CC$115</f>
        <v>0</v>
      </c>
      <c r="P75" s="1020"/>
      <c r="Q75" s="1021"/>
      <c r="R75" s="1019">
        <f>入力シート!$CC$117</f>
        <v>0</v>
      </c>
      <c r="S75" s="1020"/>
      <c r="T75" s="1021"/>
      <c r="U75" s="1019">
        <f>入力シート!$CC$119</f>
        <v>0</v>
      </c>
      <c r="V75" s="1020"/>
      <c r="W75" s="1175"/>
      <c r="X75" s="194">
        <f>SUM(F75:W75)</f>
        <v>0</v>
      </c>
      <c r="AC75" s="2"/>
      <c r="AD75" s="2"/>
    </row>
    <row r="76" spans="1:32" customFormat="1" ht="26.25" customHeight="1" x14ac:dyDescent="0.15">
      <c r="A76" s="1029"/>
      <c r="B76" s="1030"/>
      <c r="C76" s="1109" t="s">
        <v>52</v>
      </c>
      <c r="D76" s="1110"/>
      <c r="E76" s="15" t="s">
        <v>42</v>
      </c>
      <c r="F76" s="1033"/>
      <c r="G76" s="1034"/>
      <c r="H76" s="1035"/>
      <c r="I76" s="1019">
        <f>入力シート!$CD$87</f>
        <v>0</v>
      </c>
      <c r="J76" s="1020"/>
      <c r="K76" s="1021"/>
      <c r="L76" s="1019">
        <f>入力シート!$CD$89</f>
        <v>0</v>
      </c>
      <c r="M76" s="1020"/>
      <c r="N76" s="1021"/>
      <c r="O76" s="1019">
        <f>入力シート!$CD$91</f>
        <v>0</v>
      </c>
      <c r="P76" s="1020"/>
      <c r="Q76" s="1021"/>
      <c r="R76" s="1019">
        <f>入力シート!$CD$93</f>
        <v>0</v>
      </c>
      <c r="S76" s="1020"/>
      <c r="T76" s="1021"/>
      <c r="U76" s="1019">
        <f>入力シート!$CD$95</f>
        <v>0</v>
      </c>
      <c r="V76" s="1020"/>
      <c r="W76" s="1175"/>
      <c r="X76" s="193">
        <f t="shared" ref="X76:X89" si="7">SUM(I76:W76)</f>
        <v>0</v>
      </c>
    </row>
    <row r="77" spans="1:32" customFormat="1" ht="26.25" customHeight="1" x14ac:dyDescent="0.15">
      <c r="A77" s="1029"/>
      <c r="B77" s="1030"/>
      <c r="C77" s="1060"/>
      <c r="D77" s="1061"/>
      <c r="E77" s="15" t="s">
        <v>44</v>
      </c>
      <c r="F77" s="1033"/>
      <c r="G77" s="1034"/>
      <c r="H77" s="1035"/>
      <c r="I77" s="1019">
        <f>入力シート!$CD$99</f>
        <v>0</v>
      </c>
      <c r="J77" s="1020"/>
      <c r="K77" s="1021"/>
      <c r="L77" s="1019">
        <f>入力シート!$CD$101</f>
        <v>0</v>
      </c>
      <c r="M77" s="1020"/>
      <c r="N77" s="1021"/>
      <c r="O77" s="1019">
        <f>入力シート!$CD$103</f>
        <v>0</v>
      </c>
      <c r="P77" s="1020"/>
      <c r="Q77" s="1021"/>
      <c r="R77" s="1019">
        <f>入力シート!$CD$105</f>
        <v>0</v>
      </c>
      <c r="S77" s="1020"/>
      <c r="T77" s="1021"/>
      <c r="U77" s="1019">
        <f>入力シート!$CD$107</f>
        <v>0</v>
      </c>
      <c r="V77" s="1020"/>
      <c r="W77" s="1175"/>
      <c r="X77" s="193">
        <f t="shared" si="7"/>
        <v>0</v>
      </c>
    </row>
    <row r="78" spans="1:32" customFormat="1" ht="26.25" customHeight="1" x14ac:dyDescent="0.15">
      <c r="A78" s="1029"/>
      <c r="B78" s="1030"/>
      <c r="C78" s="1062"/>
      <c r="D78" s="1063"/>
      <c r="E78" s="15" t="s">
        <v>46</v>
      </c>
      <c r="F78" s="1033"/>
      <c r="G78" s="1034"/>
      <c r="H78" s="1035"/>
      <c r="I78" s="1019">
        <f>入力シート!$CD$111</f>
        <v>0</v>
      </c>
      <c r="J78" s="1020"/>
      <c r="K78" s="1021"/>
      <c r="L78" s="1019">
        <f>入力シート!$CD$113</f>
        <v>0</v>
      </c>
      <c r="M78" s="1020"/>
      <c r="N78" s="1021"/>
      <c r="O78" s="1019">
        <f>入力シート!$CD$115</f>
        <v>0</v>
      </c>
      <c r="P78" s="1020"/>
      <c r="Q78" s="1021"/>
      <c r="R78" s="1019">
        <f>入力シート!$CD$117</f>
        <v>0</v>
      </c>
      <c r="S78" s="1020"/>
      <c r="T78" s="1021"/>
      <c r="U78" s="1019">
        <f>入力シート!$CD$119</f>
        <v>0</v>
      </c>
      <c r="V78" s="1020"/>
      <c r="W78" s="1175"/>
      <c r="X78" s="193">
        <f t="shared" si="7"/>
        <v>0</v>
      </c>
    </row>
    <row r="79" spans="1:32" customFormat="1" ht="26.25" customHeight="1" x14ac:dyDescent="0.15">
      <c r="A79" s="1029"/>
      <c r="B79" s="1030"/>
      <c r="C79" s="1109" t="s">
        <v>53</v>
      </c>
      <c r="D79" s="1110"/>
      <c r="E79" s="15" t="s">
        <v>42</v>
      </c>
      <c r="F79" s="1033"/>
      <c r="G79" s="1034"/>
      <c r="H79" s="1035"/>
      <c r="I79" s="1019">
        <f>入力シート!$CE$87</f>
        <v>0</v>
      </c>
      <c r="J79" s="1020"/>
      <c r="K79" s="1021"/>
      <c r="L79" s="1019">
        <f>入力シート!$CE$89</f>
        <v>0</v>
      </c>
      <c r="M79" s="1020"/>
      <c r="N79" s="1021"/>
      <c r="O79" s="1019">
        <f>入力シート!$CE$91</f>
        <v>0</v>
      </c>
      <c r="P79" s="1020"/>
      <c r="Q79" s="1021"/>
      <c r="R79" s="1019">
        <f>入力シート!$CE$93</f>
        <v>0</v>
      </c>
      <c r="S79" s="1020"/>
      <c r="T79" s="1021"/>
      <c r="U79" s="1019">
        <f>入力シート!$CE$95</f>
        <v>0</v>
      </c>
      <c r="V79" s="1020"/>
      <c r="W79" s="1175"/>
      <c r="X79" s="193">
        <f t="shared" si="7"/>
        <v>0</v>
      </c>
    </row>
    <row r="80" spans="1:32" customFormat="1" ht="26.25" customHeight="1" x14ac:dyDescent="0.15">
      <c r="A80" s="1029"/>
      <c r="B80" s="1030"/>
      <c r="C80" s="1062"/>
      <c r="D80" s="1063"/>
      <c r="E80" s="15" t="s">
        <v>46</v>
      </c>
      <c r="F80" s="1033"/>
      <c r="G80" s="1034"/>
      <c r="H80" s="1035"/>
      <c r="I80" s="1019">
        <f>入力シート!$CE$111</f>
        <v>0</v>
      </c>
      <c r="J80" s="1020"/>
      <c r="K80" s="1021"/>
      <c r="L80" s="1019">
        <f>入力シート!$CE$113</f>
        <v>0</v>
      </c>
      <c r="M80" s="1020"/>
      <c r="N80" s="1021"/>
      <c r="O80" s="1019">
        <f>入力シート!$CE$115</f>
        <v>0</v>
      </c>
      <c r="P80" s="1020"/>
      <c r="Q80" s="1021"/>
      <c r="R80" s="1019">
        <f>入力シート!$CE$117</f>
        <v>0</v>
      </c>
      <c r="S80" s="1020"/>
      <c r="T80" s="1021"/>
      <c r="U80" s="1019">
        <f>入力シート!$CE$119</f>
        <v>0</v>
      </c>
      <c r="V80" s="1020"/>
      <c r="W80" s="1175"/>
      <c r="X80" s="193">
        <f t="shared" si="7"/>
        <v>0</v>
      </c>
    </row>
    <row r="81" spans="1:30" customFormat="1" ht="26.25" customHeight="1" x14ac:dyDescent="0.15">
      <c r="A81" s="1029"/>
      <c r="B81" s="1030"/>
      <c r="C81" s="1109" t="s">
        <v>637</v>
      </c>
      <c r="D81" s="1110"/>
      <c r="E81" s="15" t="s">
        <v>42</v>
      </c>
      <c r="F81" s="1033"/>
      <c r="G81" s="1034"/>
      <c r="H81" s="1035"/>
      <c r="I81" s="1019">
        <f>入力シート!$CF$87</f>
        <v>0</v>
      </c>
      <c r="J81" s="1020"/>
      <c r="K81" s="1021"/>
      <c r="L81" s="1019">
        <f>入力シート!$CF$89</f>
        <v>0</v>
      </c>
      <c r="M81" s="1020"/>
      <c r="N81" s="1021"/>
      <c r="O81" s="1019">
        <f>入力シート!$CF$91</f>
        <v>0</v>
      </c>
      <c r="P81" s="1020"/>
      <c r="Q81" s="1021"/>
      <c r="R81" s="1019">
        <f>入力シート!$CF$93</f>
        <v>0</v>
      </c>
      <c r="S81" s="1020"/>
      <c r="T81" s="1021"/>
      <c r="U81" s="1019">
        <f>入力シート!$CF$95</f>
        <v>0</v>
      </c>
      <c r="V81" s="1020"/>
      <c r="W81" s="1175"/>
      <c r="X81" s="193">
        <f t="shared" si="7"/>
        <v>0</v>
      </c>
    </row>
    <row r="82" spans="1:30" customFormat="1" ht="26.25" customHeight="1" x14ac:dyDescent="0.15">
      <c r="A82" s="1029"/>
      <c r="B82" s="1030"/>
      <c r="C82" s="1060"/>
      <c r="D82" s="1061"/>
      <c r="E82" s="15" t="s">
        <v>44</v>
      </c>
      <c r="F82" s="1033"/>
      <c r="G82" s="1034"/>
      <c r="H82" s="1035"/>
      <c r="I82" s="1019">
        <f>入力シート!$CF$99</f>
        <v>0</v>
      </c>
      <c r="J82" s="1020"/>
      <c r="K82" s="1021"/>
      <c r="L82" s="1019">
        <f>入力シート!$CF$101</f>
        <v>0</v>
      </c>
      <c r="M82" s="1020"/>
      <c r="N82" s="1021"/>
      <c r="O82" s="1019">
        <f>入力シート!$CF$103</f>
        <v>0</v>
      </c>
      <c r="P82" s="1020"/>
      <c r="Q82" s="1021"/>
      <c r="R82" s="1019">
        <f>入力シート!$CF$105</f>
        <v>0</v>
      </c>
      <c r="S82" s="1020"/>
      <c r="T82" s="1021"/>
      <c r="U82" s="1019">
        <f>入力シート!$CF$107</f>
        <v>0</v>
      </c>
      <c r="V82" s="1020"/>
      <c r="W82" s="1175"/>
      <c r="X82" s="193">
        <f t="shared" si="7"/>
        <v>0</v>
      </c>
    </row>
    <row r="83" spans="1:30" customFormat="1" ht="26.25" customHeight="1" x14ac:dyDescent="0.15">
      <c r="A83" s="1029"/>
      <c r="B83" s="1030"/>
      <c r="C83" s="1062"/>
      <c r="D83" s="1063"/>
      <c r="E83" s="15" t="s">
        <v>46</v>
      </c>
      <c r="F83" s="1033"/>
      <c r="G83" s="1034"/>
      <c r="H83" s="1035"/>
      <c r="I83" s="1019">
        <f>入力シート!$CF$111</f>
        <v>0</v>
      </c>
      <c r="J83" s="1020"/>
      <c r="K83" s="1021"/>
      <c r="L83" s="1019">
        <f>入力シート!$CF$113</f>
        <v>0</v>
      </c>
      <c r="M83" s="1020"/>
      <c r="N83" s="1021"/>
      <c r="O83" s="1019">
        <f>入力シート!$CF$115</f>
        <v>0</v>
      </c>
      <c r="P83" s="1020"/>
      <c r="Q83" s="1021"/>
      <c r="R83" s="1019">
        <f>入力シート!$CF$117</f>
        <v>0</v>
      </c>
      <c r="S83" s="1020"/>
      <c r="T83" s="1021"/>
      <c r="U83" s="1019">
        <f>入力シート!$CF$119</f>
        <v>0</v>
      </c>
      <c r="V83" s="1020"/>
      <c r="W83" s="1175"/>
      <c r="X83" s="193">
        <f t="shared" si="7"/>
        <v>0</v>
      </c>
    </row>
    <row r="84" spans="1:30" customFormat="1" ht="26.25" customHeight="1" x14ac:dyDescent="0.15">
      <c r="A84" s="1029"/>
      <c r="B84" s="1030"/>
      <c r="C84" s="1060" t="s">
        <v>639</v>
      </c>
      <c r="D84" s="1061"/>
      <c r="E84" s="26" t="s">
        <v>42</v>
      </c>
      <c r="F84" s="1033"/>
      <c r="G84" s="1034"/>
      <c r="H84" s="1035"/>
      <c r="I84" s="1019">
        <f>入力シート!$CG$87</f>
        <v>0</v>
      </c>
      <c r="J84" s="1020"/>
      <c r="K84" s="1021"/>
      <c r="L84" s="1019">
        <f>入力シート!$CG$89</f>
        <v>0</v>
      </c>
      <c r="M84" s="1020"/>
      <c r="N84" s="1021"/>
      <c r="O84" s="1019">
        <f>入力シート!$CG$91</f>
        <v>0</v>
      </c>
      <c r="P84" s="1020"/>
      <c r="Q84" s="1021"/>
      <c r="R84" s="1019">
        <f>入力シート!$CG$93</f>
        <v>0</v>
      </c>
      <c r="S84" s="1020"/>
      <c r="T84" s="1021"/>
      <c r="U84" s="1019">
        <f>入力シート!$CG$95</f>
        <v>0</v>
      </c>
      <c r="V84" s="1020"/>
      <c r="W84" s="1175"/>
      <c r="X84" s="193">
        <f t="shared" si="7"/>
        <v>0</v>
      </c>
    </row>
    <row r="85" spans="1:30" customFormat="1" ht="26.25" customHeight="1" x14ac:dyDescent="0.15">
      <c r="A85" s="1029"/>
      <c r="B85" s="1030"/>
      <c r="C85" s="1060"/>
      <c r="D85" s="1061"/>
      <c r="E85" s="15" t="s">
        <v>44</v>
      </c>
      <c r="F85" s="1033"/>
      <c r="G85" s="1034"/>
      <c r="H85" s="1035"/>
      <c r="I85" s="1019">
        <f>入力シート!$CG$99</f>
        <v>0</v>
      </c>
      <c r="J85" s="1020"/>
      <c r="K85" s="1021"/>
      <c r="L85" s="1019">
        <f>入力シート!$CG$101</f>
        <v>0</v>
      </c>
      <c r="M85" s="1020"/>
      <c r="N85" s="1021"/>
      <c r="O85" s="1019">
        <f>入力シート!$CG$103</f>
        <v>0</v>
      </c>
      <c r="P85" s="1020"/>
      <c r="Q85" s="1021"/>
      <c r="R85" s="1019">
        <f>入力シート!$CG$105</f>
        <v>0</v>
      </c>
      <c r="S85" s="1020"/>
      <c r="T85" s="1021"/>
      <c r="U85" s="1019">
        <f>入力シート!$CG$107</f>
        <v>0</v>
      </c>
      <c r="V85" s="1020"/>
      <c r="W85" s="1175"/>
      <c r="X85" s="193">
        <f t="shared" si="7"/>
        <v>0</v>
      </c>
    </row>
    <row r="86" spans="1:30" customFormat="1" ht="26.25" customHeight="1" thickBot="1" x14ac:dyDescent="0.2">
      <c r="A86" s="1029"/>
      <c r="B86" s="1030"/>
      <c r="C86" s="1062"/>
      <c r="D86" s="1063"/>
      <c r="E86" s="15" t="s">
        <v>46</v>
      </c>
      <c r="F86" s="1033"/>
      <c r="G86" s="1034"/>
      <c r="H86" s="1035"/>
      <c r="I86" s="1019">
        <f>入力シート!$CG$111</f>
        <v>0</v>
      </c>
      <c r="J86" s="1020"/>
      <c r="K86" s="1021"/>
      <c r="L86" s="1019">
        <f>入力シート!$CG$113</f>
        <v>0</v>
      </c>
      <c r="M86" s="1020"/>
      <c r="N86" s="1021"/>
      <c r="O86" s="1019">
        <f>入力シート!$CG$115</f>
        <v>0</v>
      </c>
      <c r="P86" s="1020"/>
      <c r="Q86" s="1021"/>
      <c r="R86" s="1019">
        <f>入力シート!$CG$117</f>
        <v>0</v>
      </c>
      <c r="S86" s="1020"/>
      <c r="T86" s="1021"/>
      <c r="U86" s="1019">
        <f>入力シート!$CG$119</f>
        <v>0</v>
      </c>
      <c r="V86" s="1020"/>
      <c r="W86" s="1175"/>
      <c r="X86" s="193">
        <f t="shared" si="7"/>
        <v>0</v>
      </c>
    </row>
    <row r="87" spans="1:30" customFormat="1" ht="26.25" customHeight="1" thickTop="1" x14ac:dyDescent="0.15">
      <c r="A87" s="1029"/>
      <c r="B87" s="1030"/>
      <c r="C87" s="1109" t="s">
        <v>54</v>
      </c>
      <c r="D87" s="1110"/>
      <c r="E87" s="15" t="s">
        <v>42</v>
      </c>
      <c r="F87" s="1033"/>
      <c r="G87" s="1034"/>
      <c r="H87" s="1035"/>
      <c r="I87" s="1019">
        <f>入力シート!$CM$87</f>
        <v>0</v>
      </c>
      <c r="J87" s="1020"/>
      <c r="K87" s="1021"/>
      <c r="L87" s="1019">
        <f>入力シート!$CM$89</f>
        <v>0</v>
      </c>
      <c r="M87" s="1020"/>
      <c r="N87" s="1021"/>
      <c r="O87" s="1104">
        <f>入力シート!$CM$91</f>
        <v>0</v>
      </c>
      <c r="P87" s="1104"/>
      <c r="Q87" s="1104"/>
      <c r="R87" s="1104">
        <f>入力シート!$CM$93</f>
        <v>0</v>
      </c>
      <c r="S87" s="1104"/>
      <c r="T87" s="1104"/>
      <c r="U87" s="1019">
        <f>入力シート!$CM$95</f>
        <v>0</v>
      </c>
      <c r="V87" s="1020"/>
      <c r="W87" s="1175"/>
      <c r="X87" s="194">
        <f t="shared" si="7"/>
        <v>0</v>
      </c>
      <c r="Z87" s="996" t="s">
        <v>60</v>
      </c>
      <c r="AA87" s="997"/>
    </row>
    <row r="88" spans="1:30" customFormat="1" ht="26.25" customHeight="1" x14ac:dyDescent="0.15">
      <c r="A88" s="1029"/>
      <c r="B88" s="1030"/>
      <c r="C88" s="1060"/>
      <c r="D88" s="1061"/>
      <c r="E88" s="15" t="s">
        <v>44</v>
      </c>
      <c r="F88" s="1033"/>
      <c r="G88" s="1034"/>
      <c r="H88" s="1035"/>
      <c r="I88" s="1019">
        <f>入力シート!$CM$99</f>
        <v>0</v>
      </c>
      <c r="J88" s="1020"/>
      <c r="K88" s="1021"/>
      <c r="L88" s="1019">
        <f>入力シート!$CM$101</f>
        <v>0</v>
      </c>
      <c r="M88" s="1020"/>
      <c r="N88" s="1021"/>
      <c r="O88" s="1104">
        <f>入力シート!$CM$103</f>
        <v>0</v>
      </c>
      <c r="P88" s="1104"/>
      <c r="Q88" s="1104"/>
      <c r="R88" s="1104">
        <f>入力シート!$CM$105</f>
        <v>0</v>
      </c>
      <c r="S88" s="1104"/>
      <c r="T88" s="1104"/>
      <c r="U88" s="1019">
        <f>入力シート!$CM$107</f>
        <v>0</v>
      </c>
      <c r="V88" s="1020"/>
      <c r="W88" s="1175"/>
      <c r="X88" s="193">
        <f t="shared" si="7"/>
        <v>0</v>
      </c>
      <c r="Z88" s="1171">
        <f>SUM(X72:X89)</f>
        <v>0</v>
      </c>
      <c r="AA88" s="1172"/>
    </row>
    <row r="89" spans="1:30" customFormat="1" ht="26.25" customHeight="1" thickBot="1" x14ac:dyDescent="0.2">
      <c r="A89" s="1031"/>
      <c r="B89" s="1032"/>
      <c r="C89" s="1102"/>
      <c r="D89" s="1103"/>
      <c r="E89" s="66" t="s">
        <v>46</v>
      </c>
      <c r="F89" s="1232"/>
      <c r="G89" s="1233"/>
      <c r="H89" s="1234"/>
      <c r="I89" s="1051">
        <f>入力シート!$CM$111</f>
        <v>0</v>
      </c>
      <c r="J89" s="1052"/>
      <c r="K89" s="1053"/>
      <c r="L89" s="1051">
        <f>入力シート!$CM$113</f>
        <v>0</v>
      </c>
      <c r="M89" s="1052"/>
      <c r="N89" s="1053"/>
      <c r="O89" s="1105">
        <f>入力シート!$CM$115</f>
        <v>0</v>
      </c>
      <c r="P89" s="1105"/>
      <c r="Q89" s="1105"/>
      <c r="R89" s="1105">
        <f>入力シート!$CM$117</f>
        <v>0</v>
      </c>
      <c r="S89" s="1105"/>
      <c r="T89" s="1105"/>
      <c r="U89" s="1051">
        <f>入力シート!$CM$119</f>
        <v>0</v>
      </c>
      <c r="V89" s="1052"/>
      <c r="W89" s="1057"/>
      <c r="X89" s="195">
        <f t="shared" si="7"/>
        <v>0</v>
      </c>
      <c r="Z89" s="1173"/>
      <c r="AA89" s="1174"/>
    </row>
    <row r="90" spans="1:30" customFormat="1" ht="12" customHeight="1" thickBot="1" x14ac:dyDescent="0.2">
      <c r="C90" s="1"/>
      <c r="D90" s="1"/>
      <c r="E90" s="1"/>
    </row>
    <row r="91" spans="1:30" customFormat="1" ht="23.25" customHeight="1" x14ac:dyDescent="0.15">
      <c r="E91" s="1"/>
      <c r="I91" s="1070" t="s">
        <v>56</v>
      </c>
      <c r="J91" s="1071"/>
      <c r="K91" s="1072">
        <f>SUM(Z24,Z36:AA39,Z61,Z67,Z88)</f>
        <v>0</v>
      </c>
      <c r="L91" s="1065"/>
      <c r="N91" s="1070" t="s">
        <v>56</v>
      </c>
      <c r="O91" s="1071"/>
      <c r="P91" s="1064">
        <f>入力シート!$GQ$9</f>
        <v>0</v>
      </c>
      <c r="Q91" s="1065"/>
      <c r="S91" s="1218" t="s">
        <v>33</v>
      </c>
      <c r="T91" s="1219"/>
      <c r="U91" s="1072" t="e" cm="1">
        <f t="array" ref="U91">LOOKUP(1,0/(入力シート!$B$12:$B$71&lt;&gt;""),入力シート!$B$12:$B$71)</f>
        <v>#N/A</v>
      </c>
      <c r="V91" s="1222"/>
      <c r="W91" s="2"/>
      <c r="X91" s="2"/>
      <c r="Z91" s="2"/>
      <c r="AA91" s="2"/>
    </row>
    <row r="92" spans="1:30" customFormat="1" ht="23.25" customHeight="1" thickBot="1" x14ac:dyDescent="0.2">
      <c r="E92" s="1"/>
      <c r="I92" s="1225" t="s">
        <v>57</v>
      </c>
      <c r="J92" s="1069"/>
      <c r="K92" s="1066"/>
      <c r="L92" s="1067"/>
      <c r="N92" s="1068" t="s">
        <v>58</v>
      </c>
      <c r="O92" s="1069"/>
      <c r="P92" s="1066"/>
      <c r="Q92" s="1067"/>
      <c r="S92" s="1220"/>
      <c r="T92" s="1221"/>
      <c r="U92" s="1223"/>
      <c r="V92" s="1224"/>
      <c r="W92" s="2"/>
      <c r="X92" s="2"/>
      <c r="Z92" s="2"/>
      <c r="AA92" s="2"/>
    </row>
    <row r="93" spans="1:30" ht="27" customHeight="1" thickBot="1" x14ac:dyDescent="0.25">
      <c r="C93" s="4"/>
      <c r="D93" s="4"/>
      <c r="E93" s="4"/>
      <c r="H93" s="5"/>
      <c r="I93" s="2"/>
      <c r="J93" s="2"/>
      <c r="M93" s="2"/>
      <c r="N93" s="2"/>
      <c r="O93" s="2"/>
      <c r="P93" s="2"/>
      <c r="Q93" s="2"/>
      <c r="R93" s="3"/>
    </row>
    <row r="94" spans="1:30" ht="27" customHeight="1" thickBot="1" x14ac:dyDescent="0.35">
      <c r="B94" s="1025" t="s">
        <v>1182</v>
      </c>
      <c r="C94" s="1025"/>
      <c r="D94" s="1025"/>
      <c r="E94" s="1025"/>
      <c r="F94" s="1025"/>
      <c r="G94" s="1025"/>
      <c r="H94" s="1025"/>
      <c r="I94" s="1025"/>
      <c r="J94" s="1025"/>
      <c r="K94" s="1025"/>
      <c r="L94" s="1025"/>
      <c r="M94" s="1025"/>
      <c r="N94" s="1025"/>
      <c r="O94" s="1025"/>
      <c r="P94" s="1025"/>
      <c r="Q94" s="1025"/>
      <c r="R94" s="1025"/>
      <c r="S94" s="1025"/>
      <c r="T94" s="1025"/>
      <c r="U94" s="1025"/>
      <c r="V94" s="1025"/>
      <c r="W94" s="1025"/>
      <c r="X94" s="1025"/>
      <c r="Y94" s="1026"/>
      <c r="Z94" s="1129" t="s">
        <v>719</v>
      </c>
      <c r="AA94" s="1130"/>
      <c r="AB94" s="1126">
        <f>団体情報・入力の仕方!$G$3</f>
        <v>0</v>
      </c>
      <c r="AC94" s="1127"/>
      <c r="AD94" s="1128"/>
    </row>
    <row r="95" spans="1:30" ht="16.5" customHeight="1" x14ac:dyDescent="0.3">
      <c r="I95" s="7"/>
      <c r="J95" s="7"/>
      <c r="K95" s="7"/>
      <c r="L95" s="7"/>
      <c r="M95" s="7"/>
      <c r="N95" s="6"/>
      <c r="O95" s="245"/>
      <c r="P95" s="245"/>
      <c r="Q95" s="8"/>
      <c r="R95" s="8"/>
      <c r="S95" s="8"/>
    </row>
    <row r="96" spans="1:30" ht="24" customHeight="1" thickBot="1" x14ac:dyDescent="0.25">
      <c r="A96" s="2"/>
      <c r="B96" s="2"/>
      <c r="C96" s="1008" t="s">
        <v>582</v>
      </c>
      <c r="D96" s="1008"/>
      <c r="E96" s="1009">
        <f>団体情報・入力の仕方!$C$4</f>
        <v>0</v>
      </c>
      <c r="F96" s="1009"/>
      <c r="G96" s="1009"/>
      <c r="H96" s="1009"/>
      <c r="I96" s="1009"/>
      <c r="J96" s="1009"/>
      <c r="K96" s="1009"/>
      <c r="L96" s="1009"/>
      <c r="M96" s="1009"/>
      <c r="N96" s="1009"/>
      <c r="O96" s="1009"/>
      <c r="P96" s="1008" t="s">
        <v>583</v>
      </c>
      <c r="Q96" s="1008"/>
      <c r="R96" s="1008"/>
      <c r="S96" s="1008"/>
      <c r="T96" s="1008">
        <f>団体情報・入力の仕方!$L$4</f>
        <v>0</v>
      </c>
      <c r="U96" s="1008"/>
      <c r="V96" s="1008"/>
      <c r="W96" s="9" t="s">
        <v>584</v>
      </c>
      <c r="X96" s="1008">
        <f>団体情報・入力の仕方!$C$3</f>
        <v>0</v>
      </c>
      <c r="Y96" s="1008"/>
      <c r="Z96" s="1008"/>
    </row>
    <row r="97" spans="1:26" ht="12.75" customHeight="1" x14ac:dyDescent="0.2">
      <c r="A97" s="2"/>
      <c r="B97" s="2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61"/>
    </row>
    <row r="98" spans="1:26" ht="24" customHeight="1" thickBot="1" x14ac:dyDescent="0.25">
      <c r="A98" s="2"/>
      <c r="B98" s="2"/>
      <c r="C98" s="1008" t="s">
        <v>585</v>
      </c>
      <c r="D98" s="1008"/>
      <c r="E98" s="1132" t="str">
        <f>"〒　"&amp;団体情報・入力の仕方!$C$5&amp;"　"&amp;団体情報・入力の仕方!$H$5</f>
        <v>〒　　</v>
      </c>
      <c r="F98" s="1132"/>
      <c r="G98" s="1132"/>
      <c r="H98" s="1132"/>
      <c r="I98" s="1132"/>
      <c r="J98" s="1132"/>
      <c r="K98" s="1132"/>
      <c r="L98" s="1132"/>
      <c r="M98" s="1132"/>
      <c r="N98" s="1132"/>
      <c r="O98" s="1132"/>
      <c r="P98" s="1132"/>
      <c r="Q98" s="1132"/>
      <c r="R98" s="1132"/>
      <c r="S98" s="1132"/>
      <c r="T98" s="1132"/>
      <c r="U98" s="1132"/>
      <c r="V98" s="1132"/>
      <c r="W98" s="1132"/>
      <c r="X98" s="1132"/>
      <c r="Y98" s="1132"/>
      <c r="Z98" s="1132"/>
    </row>
    <row r="99" spans="1:26" ht="12.75" customHeight="1" x14ac:dyDescent="0.2">
      <c r="A99" s="2"/>
      <c r="B99" s="2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61"/>
    </row>
    <row r="100" spans="1:26" ht="24" customHeight="1" thickBot="1" x14ac:dyDescent="0.25">
      <c r="A100" s="2"/>
      <c r="B100" s="2"/>
      <c r="C100" s="1008" t="s">
        <v>586</v>
      </c>
      <c r="D100" s="1008"/>
      <c r="E100" s="1132">
        <f>団体情報・入力の仕方!$C$6</f>
        <v>0</v>
      </c>
      <c r="F100" s="1132"/>
      <c r="G100" s="1132"/>
      <c r="H100" s="1132"/>
      <c r="I100" s="1132"/>
      <c r="J100" s="1132"/>
      <c r="K100" s="141"/>
      <c r="L100" s="141"/>
      <c r="M100" s="141"/>
      <c r="N100" s="141"/>
      <c r="O100" s="141"/>
      <c r="P100" s="1008" t="s">
        <v>587</v>
      </c>
      <c r="Q100" s="1008"/>
      <c r="R100" s="1008"/>
      <c r="S100" s="1132">
        <f>団体情報・入力の仕方!$J$6</f>
        <v>0</v>
      </c>
      <c r="T100" s="1132"/>
      <c r="U100" s="1132"/>
      <c r="V100" s="1132"/>
      <c r="W100" s="1132"/>
      <c r="X100" s="141"/>
      <c r="Y100" s="141"/>
      <c r="Z100" s="141"/>
    </row>
    <row r="101" spans="1:26" ht="10.5" customHeight="1" x14ac:dyDescent="0.2">
      <c r="A101" s="2"/>
      <c r="B101" s="2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2"/>
      <c r="R101" s="2"/>
      <c r="S101" s="2"/>
    </row>
    <row r="102" spans="1:26" ht="24" customHeight="1" thickBot="1" x14ac:dyDescent="0.25">
      <c r="A102" s="2"/>
      <c r="B102" s="2"/>
      <c r="C102" s="1008" t="s">
        <v>588</v>
      </c>
      <c r="D102" s="1008"/>
      <c r="E102" s="1008"/>
      <c r="F102" s="1008"/>
      <c r="G102" s="1008">
        <f>団体情報・入力の仕方!$C$7</f>
        <v>0</v>
      </c>
      <c r="H102" s="1008"/>
      <c r="I102" s="1008"/>
      <c r="J102" s="1008"/>
      <c r="K102" s="1008"/>
      <c r="L102" s="1008"/>
      <c r="M102" s="1008" t="s">
        <v>589</v>
      </c>
      <c r="N102" s="1008"/>
      <c r="O102" s="1008"/>
      <c r="P102" s="1008"/>
      <c r="Q102" s="1008"/>
      <c r="R102" s="1131">
        <f>団体情報・入力の仕方!$J$7</f>
        <v>0</v>
      </c>
      <c r="S102" s="1131"/>
      <c r="T102" s="1131"/>
      <c r="U102" s="1131"/>
      <c r="V102" s="1131"/>
      <c r="W102" s="141"/>
      <c r="X102" s="141"/>
      <c r="Y102" s="141"/>
      <c r="Z102" s="141"/>
    </row>
    <row r="103" spans="1:26" ht="10.5" customHeight="1" x14ac:dyDescent="0.2">
      <c r="A103" s="2"/>
      <c r="B103" s="2"/>
      <c r="C103" s="3"/>
      <c r="D103" s="3"/>
      <c r="E103" s="10"/>
      <c r="F103" s="3"/>
      <c r="G103" s="10"/>
      <c r="H103" s="10"/>
      <c r="I103" s="10"/>
      <c r="J103" s="10"/>
      <c r="K103" s="3"/>
      <c r="L103" s="3"/>
      <c r="M103" s="3"/>
      <c r="N103" s="10"/>
      <c r="O103" s="10"/>
      <c r="P103" s="10"/>
      <c r="Q103" s="10"/>
      <c r="R103" s="10"/>
      <c r="S103" s="3"/>
      <c r="T103" s="361"/>
    </row>
    <row r="104" spans="1:26" ht="24" customHeight="1" thickBot="1" x14ac:dyDescent="0.25">
      <c r="A104" s="2"/>
      <c r="B104" s="2"/>
      <c r="C104" s="1008" t="s">
        <v>1183</v>
      </c>
      <c r="D104" s="1008"/>
      <c r="E104" s="1008"/>
      <c r="F104" s="1008"/>
      <c r="G104" s="1009">
        <f>団体情報・入力の仕方!$C$8</f>
        <v>0</v>
      </c>
      <c r="H104" s="1009"/>
      <c r="I104" s="1009"/>
      <c r="J104" s="1009"/>
      <c r="K104" s="1009"/>
      <c r="L104" s="1009"/>
      <c r="M104" s="1009"/>
      <c r="N104" s="1009"/>
      <c r="O104" s="1009"/>
      <c r="P104" s="1009"/>
      <c r="Q104" s="1009"/>
      <c r="R104" s="1009"/>
      <c r="S104" s="1009"/>
      <c r="T104" s="1009"/>
      <c r="U104" s="1009"/>
      <c r="V104" s="1009"/>
      <c r="W104" s="1009"/>
      <c r="X104" s="1009"/>
      <c r="Y104" s="1009"/>
      <c r="Z104" s="1009"/>
    </row>
    <row r="105" spans="1:26" ht="24" customHeight="1" thickBot="1" x14ac:dyDescent="0.25">
      <c r="A105" s="2"/>
      <c r="B105" s="2"/>
      <c r="C105" s="1008" t="s">
        <v>1184</v>
      </c>
      <c r="D105" s="1008"/>
      <c r="E105" s="1008"/>
      <c r="F105" s="1008"/>
      <c r="G105" s="1009">
        <f>団体情報・入力の仕方!$C$9</f>
        <v>0</v>
      </c>
      <c r="H105" s="1009"/>
      <c r="I105" s="1009"/>
      <c r="J105" s="1009"/>
      <c r="K105" s="1009"/>
      <c r="L105" s="1009"/>
      <c r="M105" s="1009"/>
      <c r="N105" s="1009"/>
      <c r="O105" s="1009"/>
      <c r="P105" s="1009"/>
      <c r="Q105" s="1009"/>
      <c r="R105" s="1009"/>
      <c r="S105" s="1009"/>
      <c r="T105" s="1009"/>
      <c r="U105" s="1009"/>
      <c r="V105" s="1009"/>
      <c r="W105" s="1009"/>
      <c r="X105" s="1009"/>
      <c r="Y105" s="1009"/>
      <c r="Z105" s="1009"/>
    </row>
    <row r="106" spans="1:26" ht="10.5" customHeight="1" x14ac:dyDescent="0.2">
      <c r="A106" s="2"/>
      <c r="B106" s="2"/>
      <c r="C106" s="3"/>
      <c r="D106" s="3"/>
      <c r="E106" s="10"/>
      <c r="F106" s="3"/>
      <c r="G106" s="10"/>
      <c r="H106" s="10"/>
      <c r="I106" s="10"/>
      <c r="J106" s="10"/>
      <c r="K106" s="3"/>
      <c r="L106" s="3"/>
      <c r="M106" s="3"/>
      <c r="N106" s="10"/>
      <c r="O106" s="10"/>
      <c r="P106" s="10"/>
      <c r="Q106" s="10"/>
      <c r="R106" s="10"/>
      <c r="S106" s="3"/>
      <c r="T106" s="361"/>
    </row>
    <row r="107" spans="1:26" ht="24" customHeight="1" thickBot="1" x14ac:dyDescent="0.25">
      <c r="A107" s="2"/>
      <c r="B107" s="2"/>
      <c r="C107" s="1008" t="s">
        <v>590</v>
      </c>
      <c r="D107" s="1008"/>
      <c r="E107" s="1008"/>
      <c r="F107" s="1008"/>
      <c r="G107" s="1008"/>
      <c r="H107" s="1009" t="str">
        <f>団体情報・入力の仕方!$E$11&amp;"　　〒　"&amp;団体情報・入力の仕方!$E$12&amp;"　"&amp;団体情報・入力の仕方!$E$13</f>
        <v>　　〒　　</v>
      </c>
      <c r="I107" s="1009"/>
      <c r="J107" s="1009"/>
      <c r="K107" s="1009"/>
      <c r="L107" s="1009"/>
      <c r="M107" s="1009"/>
      <c r="N107" s="1009"/>
      <c r="O107" s="1009"/>
      <c r="P107" s="1009"/>
      <c r="Q107" s="1009"/>
      <c r="R107" s="1009"/>
      <c r="S107" s="1009"/>
      <c r="T107" s="1009"/>
      <c r="U107" s="1009"/>
      <c r="V107" s="1009"/>
      <c r="W107" s="1009"/>
      <c r="X107" s="1009"/>
      <c r="Y107" s="1009"/>
      <c r="Z107" s="1009"/>
    </row>
    <row r="108" spans="1:26" ht="14.25" customHeight="1" thickBot="1" x14ac:dyDescent="0.2"/>
    <row r="109" spans="1:26" ht="24" customHeight="1" thickBot="1" x14ac:dyDescent="0.25">
      <c r="A109" s="11" t="s">
        <v>591</v>
      </c>
      <c r="B109" s="110" t="s">
        <v>592</v>
      </c>
      <c r="C109" s="2"/>
      <c r="D109" s="3"/>
      <c r="E109" s="3"/>
      <c r="F109" s="3"/>
      <c r="G109" s="3"/>
      <c r="H109" s="3"/>
      <c r="I109" s="3"/>
      <c r="J109" s="3"/>
      <c r="K109" s="3"/>
      <c r="L109" s="2"/>
      <c r="M109" s="2"/>
      <c r="N109" s="2"/>
      <c r="O109" s="2"/>
    </row>
    <row r="110" spans="1:26" ht="8.2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</row>
    <row r="111" spans="1:26" ht="24.95" customHeight="1" x14ac:dyDescent="0.15">
      <c r="A111" s="111"/>
      <c r="B111" s="2"/>
      <c r="C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</row>
    <row r="112" spans="1:26" ht="24.95" customHeight="1" x14ac:dyDescent="0.15">
      <c r="A112" s="113" t="s">
        <v>593</v>
      </c>
      <c r="B112" s="2"/>
      <c r="C112" s="2"/>
      <c r="D112" s="2"/>
      <c r="E112" s="2"/>
      <c r="F112" s="2"/>
      <c r="G112" s="2"/>
      <c r="H112" s="2"/>
      <c r="I112" s="113" t="s">
        <v>594</v>
      </c>
      <c r="J112" s="2"/>
      <c r="K112" s="2"/>
      <c r="L112" s="2"/>
      <c r="M112" s="2"/>
      <c r="N112" s="2"/>
      <c r="O112" s="2"/>
      <c r="P112" s="2"/>
      <c r="Q112" s="2"/>
      <c r="R112" s="2"/>
    </row>
    <row r="113" spans="1:31" ht="24.95" customHeight="1" x14ac:dyDescent="0.15">
      <c r="A113" s="370" t="s">
        <v>521</v>
      </c>
      <c r="B113" s="114">
        <f>参照データ!$E$12</f>
        <v>4000</v>
      </c>
      <c r="C113" s="370" t="s">
        <v>596</v>
      </c>
      <c r="D113" s="370">
        <f>$X$8</f>
        <v>0</v>
      </c>
      <c r="E113" s="370" t="s">
        <v>597</v>
      </c>
      <c r="F113" s="1010">
        <f>B113*D113</f>
        <v>0</v>
      </c>
      <c r="G113" s="1010"/>
      <c r="H113" s="2"/>
      <c r="I113" s="1080" t="s">
        <v>598</v>
      </c>
      <c r="J113" s="1080"/>
      <c r="K113" s="370"/>
      <c r="L113" s="114">
        <f>参照データ!$E$13</f>
        <v>4500</v>
      </c>
      <c r="M113" s="370" t="s">
        <v>599</v>
      </c>
      <c r="N113" s="370">
        <f>$X$17</f>
        <v>0</v>
      </c>
      <c r="O113" s="370" t="s">
        <v>600</v>
      </c>
      <c r="P113" s="1010">
        <f>L113*N113</f>
        <v>0</v>
      </c>
      <c r="Q113" s="1010"/>
      <c r="R113" s="2"/>
    </row>
    <row r="114" spans="1:31" ht="24.95" customHeight="1" x14ac:dyDescent="0.15">
      <c r="A114" s="107" t="s">
        <v>522</v>
      </c>
      <c r="B114" s="114">
        <f>参照データ!$E$12</f>
        <v>4000</v>
      </c>
      <c r="C114" s="109" t="s">
        <v>596</v>
      </c>
      <c r="D114" s="370">
        <f>$X$9</f>
        <v>0</v>
      </c>
      <c r="E114" s="109" t="s">
        <v>603</v>
      </c>
      <c r="F114" s="1010">
        <f t="shared" ref="F114:F118" si="8">B114*D114</f>
        <v>0</v>
      </c>
      <c r="G114" s="1010"/>
      <c r="H114" s="2"/>
      <c r="I114" s="1080" t="s">
        <v>604</v>
      </c>
      <c r="J114" s="1080"/>
      <c r="K114" s="370"/>
      <c r="L114" s="114">
        <f>参照データ!$E$13</f>
        <v>4500</v>
      </c>
      <c r="M114" s="370" t="s">
        <v>605</v>
      </c>
      <c r="N114" s="370">
        <f>$X$19</f>
        <v>0</v>
      </c>
      <c r="O114" s="370" t="s">
        <v>603</v>
      </c>
      <c r="P114" s="1010">
        <f>L114*N114</f>
        <v>0</v>
      </c>
      <c r="Q114" s="1010"/>
      <c r="R114" s="2"/>
    </row>
    <row r="115" spans="1:31" ht="24.95" customHeight="1" x14ac:dyDescent="0.15">
      <c r="A115" s="107" t="s">
        <v>607</v>
      </c>
      <c r="B115" s="114">
        <f>参照データ!$E$12</f>
        <v>4000</v>
      </c>
      <c r="C115" s="107" t="s">
        <v>596</v>
      </c>
      <c r="D115" s="370">
        <f>$X$10</f>
        <v>0</v>
      </c>
      <c r="E115" s="107" t="s">
        <v>603</v>
      </c>
      <c r="F115" s="1010">
        <f t="shared" si="8"/>
        <v>0</v>
      </c>
      <c r="G115" s="1010"/>
      <c r="H115" s="2"/>
      <c r="I115" s="1080" t="s">
        <v>608</v>
      </c>
      <c r="J115" s="1080"/>
      <c r="K115" s="370"/>
      <c r="L115" s="114">
        <f>参照データ!$E$13</f>
        <v>4500</v>
      </c>
      <c r="M115" s="107" t="s">
        <v>609</v>
      </c>
      <c r="N115" s="107">
        <f>$X$21</f>
        <v>0</v>
      </c>
      <c r="O115" s="107" t="s">
        <v>603</v>
      </c>
      <c r="P115" s="1010">
        <f t="shared" ref="P115:P118" si="9">L115*N115</f>
        <v>0</v>
      </c>
      <c r="Q115" s="1010"/>
      <c r="R115" s="2"/>
    </row>
    <row r="116" spans="1:31" ht="24.95" customHeight="1" thickBot="1" x14ac:dyDescent="0.2">
      <c r="A116" s="370" t="s">
        <v>611</v>
      </c>
      <c r="B116" s="114">
        <f>参照データ!$E$12</f>
        <v>4000</v>
      </c>
      <c r="C116" s="107" t="s">
        <v>605</v>
      </c>
      <c r="D116" s="370">
        <f>$X$11</f>
        <v>0</v>
      </c>
      <c r="E116" s="107" t="s">
        <v>602</v>
      </c>
      <c r="F116" s="1010">
        <f t="shared" si="8"/>
        <v>0</v>
      </c>
      <c r="G116" s="1010"/>
      <c r="H116" s="2"/>
      <c r="I116" s="1080" t="s">
        <v>640</v>
      </c>
      <c r="J116" s="1080"/>
      <c r="K116" s="370"/>
      <c r="L116" s="114">
        <f>参照データ!$E$13</f>
        <v>4500</v>
      </c>
      <c r="M116" s="107" t="s">
        <v>596</v>
      </c>
      <c r="N116" s="107">
        <f>$X$23</f>
        <v>0</v>
      </c>
      <c r="O116" s="107" t="s">
        <v>610</v>
      </c>
      <c r="P116" s="1010">
        <f t="shared" si="9"/>
        <v>0</v>
      </c>
      <c r="Q116" s="1010"/>
      <c r="R116" s="2"/>
    </row>
    <row r="117" spans="1:31" ht="24.95" customHeight="1" thickBot="1" x14ac:dyDescent="0.2">
      <c r="A117" s="107" t="s">
        <v>638</v>
      </c>
      <c r="B117" s="114">
        <f>参照データ!$E$12</f>
        <v>4000</v>
      </c>
      <c r="C117" s="107" t="s">
        <v>605</v>
      </c>
      <c r="D117" s="370">
        <f>$X$12</f>
        <v>0</v>
      </c>
      <c r="E117" s="107" t="s">
        <v>610</v>
      </c>
      <c r="F117" s="1010">
        <f t="shared" si="8"/>
        <v>0</v>
      </c>
      <c r="G117" s="1010"/>
      <c r="H117" s="2"/>
      <c r="I117" s="1080" t="s">
        <v>641</v>
      </c>
      <c r="J117" s="1080"/>
      <c r="K117" s="370"/>
      <c r="L117" s="114">
        <f>参照データ!$E$13</f>
        <v>4500</v>
      </c>
      <c r="M117" s="107" t="s">
        <v>605</v>
      </c>
      <c r="N117" s="107">
        <f>$X$24</f>
        <v>0</v>
      </c>
      <c r="O117" s="107" t="s">
        <v>606</v>
      </c>
      <c r="P117" s="1010">
        <f t="shared" si="9"/>
        <v>0</v>
      </c>
      <c r="Q117" s="1010"/>
      <c r="R117" s="2"/>
      <c r="AC117" s="1086" t="s">
        <v>613</v>
      </c>
      <c r="AD117" s="1087"/>
    </row>
    <row r="118" spans="1:31" ht="24.95" customHeight="1" thickBot="1" x14ac:dyDescent="0.2">
      <c r="A118" s="107" t="s">
        <v>614</v>
      </c>
      <c r="B118" s="115">
        <f>(参照データ!$J$12)*2</f>
        <v>5500</v>
      </c>
      <c r="C118" s="107" t="s">
        <v>601</v>
      </c>
      <c r="D118" s="370">
        <f>$X$13</f>
        <v>0</v>
      </c>
      <c r="E118" s="107" t="s">
        <v>603</v>
      </c>
      <c r="F118" s="1010">
        <f t="shared" si="8"/>
        <v>0</v>
      </c>
      <c r="G118" s="1010"/>
      <c r="H118" s="2"/>
      <c r="I118" s="1080" t="s">
        <v>614</v>
      </c>
      <c r="J118" s="1080"/>
      <c r="K118" s="370"/>
      <c r="L118" s="115">
        <f>(参照データ!$J$13)*2</f>
        <v>6000</v>
      </c>
      <c r="M118" s="370" t="s">
        <v>615</v>
      </c>
      <c r="N118" s="370">
        <f>$X$25</f>
        <v>0</v>
      </c>
      <c r="O118" s="370" t="s">
        <v>603</v>
      </c>
      <c r="P118" s="1010">
        <f t="shared" si="9"/>
        <v>0</v>
      </c>
      <c r="Q118" s="1010"/>
      <c r="R118" s="2"/>
      <c r="AC118" s="1088">
        <f>SUM(F113:G118,P113:Q118,Z147:AA152)</f>
        <v>0</v>
      </c>
      <c r="AD118" s="1089"/>
    </row>
    <row r="119" spans="1:31" ht="24.95" customHeight="1" x14ac:dyDescent="0.15">
      <c r="A119" s="2"/>
      <c r="B119" s="2"/>
      <c r="C119" s="2"/>
      <c r="D119" s="2"/>
      <c r="E119" s="2"/>
      <c r="F119" s="2"/>
      <c r="G119" s="187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AA119" s="186"/>
    </row>
    <row r="120" spans="1:31" ht="24.95" customHeight="1" x14ac:dyDescent="0.15">
      <c r="A120" s="111"/>
      <c r="B120" s="111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</row>
    <row r="121" spans="1:31" ht="24.95" customHeight="1" x14ac:dyDescent="0.15">
      <c r="A121" s="113" t="s">
        <v>595</v>
      </c>
      <c r="B121" s="112"/>
      <c r="C121" s="2"/>
      <c r="D121" s="2"/>
      <c r="E121" s="2"/>
      <c r="F121" s="2"/>
      <c r="G121" s="2"/>
      <c r="H121" s="2"/>
      <c r="I121" s="113" t="s">
        <v>616</v>
      </c>
      <c r="J121" s="2"/>
      <c r="K121" s="2"/>
      <c r="L121" s="2"/>
      <c r="M121" s="2"/>
      <c r="N121" s="2"/>
      <c r="O121" s="2"/>
      <c r="P121" s="2"/>
      <c r="Q121" s="2"/>
      <c r="R121" s="2"/>
      <c r="S121" s="2"/>
    </row>
    <row r="122" spans="1:31" ht="24.95" customHeight="1" x14ac:dyDescent="0.15">
      <c r="A122" s="370" t="s">
        <v>618</v>
      </c>
      <c r="B122" s="114">
        <f>参照データ!$E$3</f>
        <v>2700</v>
      </c>
      <c r="C122" s="370" t="s">
        <v>605</v>
      </c>
      <c r="D122" s="370">
        <f>$X$59</f>
        <v>0</v>
      </c>
      <c r="E122" s="370" t="s">
        <v>600</v>
      </c>
      <c r="F122" s="1010">
        <f t="shared" ref="F122:F127" si="10">B122*D122</f>
        <v>0</v>
      </c>
      <c r="G122" s="1010"/>
      <c r="H122" s="2"/>
      <c r="I122" s="1082" t="s">
        <v>617</v>
      </c>
      <c r="J122" s="1082"/>
      <c r="K122" s="370" t="s">
        <v>618</v>
      </c>
      <c r="L122" s="114">
        <f>参照データ!$E$8</f>
        <v>2700</v>
      </c>
      <c r="M122" s="370" t="s">
        <v>619</v>
      </c>
      <c r="N122" s="370">
        <f>$X$72</f>
        <v>0</v>
      </c>
      <c r="O122" s="370" t="s">
        <v>603</v>
      </c>
      <c r="P122" s="1010">
        <f>L122*N122</f>
        <v>0</v>
      </c>
      <c r="Q122" s="1010"/>
      <c r="R122" s="2"/>
      <c r="S122" s="1082" t="s">
        <v>650</v>
      </c>
      <c r="T122" s="1082"/>
      <c r="U122" s="370" t="s">
        <v>620</v>
      </c>
      <c r="V122" s="114">
        <f>参照データ!$E$9</f>
        <v>2700</v>
      </c>
      <c r="W122" s="370" t="s">
        <v>605</v>
      </c>
      <c r="X122" s="370">
        <f>$X$81</f>
        <v>0</v>
      </c>
      <c r="Y122" s="370" t="s">
        <v>600</v>
      </c>
      <c r="Z122" s="1010">
        <f>V122*X122</f>
        <v>0</v>
      </c>
      <c r="AA122" s="1010"/>
      <c r="AD122" s="186"/>
    </row>
    <row r="123" spans="1:31" ht="24.95" customHeight="1" x14ac:dyDescent="0.15">
      <c r="A123" s="107" t="s">
        <v>620</v>
      </c>
      <c r="B123" s="114">
        <f>参照データ!$E$3</f>
        <v>2700</v>
      </c>
      <c r="C123" s="107" t="s">
        <v>605</v>
      </c>
      <c r="D123" s="107">
        <f>$X$60</f>
        <v>0</v>
      </c>
      <c r="E123" s="107" t="s">
        <v>621</v>
      </c>
      <c r="F123" s="1010">
        <f t="shared" si="10"/>
        <v>0</v>
      </c>
      <c r="G123" s="1010"/>
      <c r="H123" s="2"/>
      <c r="I123" s="2"/>
      <c r="K123" s="107" t="s">
        <v>620</v>
      </c>
      <c r="L123" s="115">
        <f>参照データ!$E$9</f>
        <v>2700</v>
      </c>
      <c r="M123" s="109" t="s">
        <v>605</v>
      </c>
      <c r="N123" s="107">
        <f>$X$73</f>
        <v>0</v>
      </c>
      <c r="O123" s="109" t="s">
        <v>621</v>
      </c>
      <c r="P123" s="1010">
        <f t="shared" ref="P123:P130" si="11">L123*N123</f>
        <v>0</v>
      </c>
      <c r="Q123" s="1010"/>
      <c r="R123" s="2"/>
      <c r="S123" s="2"/>
      <c r="T123" s="361"/>
      <c r="U123" s="107" t="s">
        <v>622</v>
      </c>
      <c r="V123" s="115">
        <f>参照データ!$E$10</f>
        <v>4000</v>
      </c>
      <c r="W123" s="109" t="s">
        <v>605</v>
      </c>
      <c r="X123" s="370">
        <f>$X$82</f>
        <v>0</v>
      </c>
      <c r="Y123" s="109" t="s">
        <v>603</v>
      </c>
      <c r="Z123" s="1010">
        <f t="shared" ref="Z123:Z130" si="12">V123*X123</f>
        <v>0</v>
      </c>
      <c r="AA123" s="1010"/>
      <c r="AD123" s="186"/>
      <c r="AE123" s="186"/>
    </row>
    <row r="124" spans="1:31" ht="24.95" customHeight="1" x14ac:dyDescent="0.15">
      <c r="A124" s="107" t="s">
        <v>622</v>
      </c>
      <c r="B124" s="114">
        <f>参照データ!$E$3</f>
        <v>2700</v>
      </c>
      <c r="C124" s="107" t="s">
        <v>615</v>
      </c>
      <c r="D124" s="107">
        <f>$X$61</f>
        <v>0</v>
      </c>
      <c r="E124" s="107" t="s">
        <v>603</v>
      </c>
      <c r="F124" s="1010">
        <f t="shared" si="10"/>
        <v>0</v>
      </c>
      <c r="G124" s="1010"/>
      <c r="H124" s="2"/>
      <c r="I124" s="2"/>
      <c r="K124" s="107" t="s">
        <v>622</v>
      </c>
      <c r="L124" s="115">
        <f>参照データ!$E$10</f>
        <v>4000</v>
      </c>
      <c r="M124" s="107" t="s">
        <v>605</v>
      </c>
      <c r="N124" s="107">
        <f>$X$74</f>
        <v>0</v>
      </c>
      <c r="O124" s="107" t="s">
        <v>603</v>
      </c>
      <c r="P124" s="1010">
        <f t="shared" si="11"/>
        <v>0</v>
      </c>
      <c r="Q124" s="1010"/>
      <c r="R124" s="2"/>
      <c r="S124" s="116"/>
      <c r="T124" s="370"/>
      <c r="U124" s="107" t="s">
        <v>623</v>
      </c>
      <c r="V124" s="115">
        <f>参照データ!$E$11</f>
        <v>4000</v>
      </c>
      <c r="W124" s="107" t="s">
        <v>605</v>
      </c>
      <c r="X124" s="370">
        <f>$X$83</f>
        <v>0</v>
      </c>
      <c r="Y124" s="107" t="s">
        <v>603</v>
      </c>
      <c r="Z124" s="1010">
        <f t="shared" si="12"/>
        <v>0</v>
      </c>
      <c r="AA124" s="1010"/>
    </row>
    <row r="125" spans="1:31" ht="24.95" customHeight="1" x14ac:dyDescent="0.15">
      <c r="A125" s="107" t="s">
        <v>623</v>
      </c>
      <c r="B125" s="114">
        <f>参照データ!$E$3</f>
        <v>2700</v>
      </c>
      <c r="C125" s="108" t="s">
        <v>601</v>
      </c>
      <c r="D125" s="108">
        <f>$X$62</f>
        <v>0</v>
      </c>
      <c r="E125" s="108" t="s">
        <v>602</v>
      </c>
      <c r="F125" s="1010">
        <f t="shared" si="10"/>
        <v>0</v>
      </c>
      <c r="G125" s="1010"/>
      <c r="H125" s="2"/>
      <c r="I125" s="116"/>
      <c r="J125" s="370"/>
      <c r="K125" s="107" t="s">
        <v>623</v>
      </c>
      <c r="L125" s="115">
        <f>参照データ!$E$11</f>
        <v>4000</v>
      </c>
      <c r="M125" s="107" t="s">
        <v>601</v>
      </c>
      <c r="N125" s="107">
        <f>$X$75</f>
        <v>0</v>
      </c>
      <c r="O125" s="107" t="s">
        <v>603</v>
      </c>
      <c r="P125" s="1010">
        <f t="shared" si="11"/>
        <v>0</v>
      </c>
      <c r="Q125" s="1010"/>
      <c r="R125" s="2"/>
      <c r="S125" s="1082" t="s">
        <v>651</v>
      </c>
      <c r="T125" s="1082"/>
      <c r="U125" s="107" t="s">
        <v>620</v>
      </c>
      <c r="V125" s="115">
        <f>参照データ!$E$9</f>
        <v>2700</v>
      </c>
      <c r="W125" s="107" t="s">
        <v>596</v>
      </c>
      <c r="X125" s="370">
        <f>$X$84</f>
        <v>0</v>
      </c>
      <c r="Y125" s="107" t="s">
        <v>612</v>
      </c>
      <c r="Z125" s="1010">
        <f t="shared" si="12"/>
        <v>0</v>
      </c>
      <c r="AA125" s="1010"/>
    </row>
    <row r="126" spans="1:31" ht="24.95" customHeight="1" x14ac:dyDescent="0.15">
      <c r="A126" s="610" t="s">
        <v>646</v>
      </c>
      <c r="B126" s="611">
        <f>参照データ!$E$3</f>
        <v>2700</v>
      </c>
      <c r="C126" s="610" t="s">
        <v>605</v>
      </c>
      <c r="D126" s="610">
        <f>$X$63</f>
        <v>0</v>
      </c>
      <c r="E126" s="610" t="s">
        <v>603</v>
      </c>
      <c r="F126" s="1081">
        <f t="shared" si="10"/>
        <v>0</v>
      </c>
      <c r="G126" s="1081"/>
      <c r="H126" s="2"/>
      <c r="I126" s="1082" t="s">
        <v>624</v>
      </c>
      <c r="J126" s="1082"/>
      <c r="K126" s="107" t="s">
        <v>620</v>
      </c>
      <c r="L126" s="115">
        <f>参照データ!$E$9</f>
        <v>2700</v>
      </c>
      <c r="M126" s="107" t="s">
        <v>605</v>
      </c>
      <c r="N126" s="107">
        <f>$X$76</f>
        <v>0</v>
      </c>
      <c r="O126" s="107" t="s">
        <v>603</v>
      </c>
      <c r="P126" s="1010">
        <f t="shared" si="11"/>
        <v>0</v>
      </c>
      <c r="Q126" s="1010"/>
      <c r="R126" s="2"/>
      <c r="S126" s="2"/>
      <c r="T126" s="361"/>
      <c r="U126" s="107" t="s">
        <v>622</v>
      </c>
      <c r="V126" s="115">
        <f>参照データ!$E$10</f>
        <v>4000</v>
      </c>
      <c r="W126" s="107" t="s">
        <v>605</v>
      </c>
      <c r="X126" s="370">
        <f>$X$85</f>
        <v>0</v>
      </c>
      <c r="Y126" s="107" t="s">
        <v>625</v>
      </c>
      <c r="Z126" s="1010">
        <f t="shared" si="12"/>
        <v>0</v>
      </c>
      <c r="AA126" s="1010"/>
    </row>
    <row r="127" spans="1:31" ht="24.95" customHeight="1" x14ac:dyDescent="0.15">
      <c r="A127" s="612" t="s">
        <v>647</v>
      </c>
      <c r="B127" s="613">
        <f>参照データ!$E$3</f>
        <v>2700</v>
      </c>
      <c r="C127" s="612" t="s">
        <v>605</v>
      </c>
      <c r="D127" s="612">
        <f>$X$64</f>
        <v>0</v>
      </c>
      <c r="E127" s="612" t="s">
        <v>603</v>
      </c>
      <c r="F127" s="1083">
        <f t="shared" si="10"/>
        <v>0</v>
      </c>
      <c r="G127" s="1083"/>
      <c r="H127" s="2"/>
      <c r="I127" s="2"/>
      <c r="K127" s="107" t="s">
        <v>622</v>
      </c>
      <c r="L127" s="115">
        <f>参照データ!$E$10</f>
        <v>4000</v>
      </c>
      <c r="M127" s="107" t="s">
        <v>601</v>
      </c>
      <c r="N127" s="107">
        <f>$X$77</f>
        <v>0</v>
      </c>
      <c r="O127" s="107" t="s">
        <v>625</v>
      </c>
      <c r="P127" s="1010">
        <f t="shared" si="11"/>
        <v>0</v>
      </c>
      <c r="Q127" s="1010"/>
      <c r="R127" s="2"/>
      <c r="S127" s="116"/>
      <c r="T127" s="370"/>
      <c r="U127" s="107" t="s">
        <v>623</v>
      </c>
      <c r="V127" s="115">
        <f>参照データ!$E$11</f>
        <v>4000</v>
      </c>
      <c r="W127" s="107" t="s">
        <v>596</v>
      </c>
      <c r="X127" s="370">
        <f>$X$86</f>
        <v>0</v>
      </c>
      <c r="Y127" s="107" t="s">
        <v>612</v>
      </c>
      <c r="Z127" s="1010">
        <f t="shared" si="12"/>
        <v>0</v>
      </c>
      <c r="AA127" s="1010"/>
    </row>
    <row r="128" spans="1:31" ht="24.95" customHeight="1" thickBot="1" x14ac:dyDescent="0.2">
      <c r="A128" s="2"/>
      <c r="B128" s="2"/>
      <c r="C128" s="2"/>
      <c r="D128" s="2"/>
      <c r="E128" s="2"/>
      <c r="F128" s="2"/>
      <c r="G128" s="186"/>
      <c r="H128" s="2"/>
      <c r="I128" s="116"/>
      <c r="J128" s="370"/>
      <c r="K128" s="107" t="s">
        <v>623</v>
      </c>
      <c r="L128" s="115">
        <f>参照データ!$E$11</f>
        <v>4000</v>
      </c>
      <c r="M128" s="107" t="s">
        <v>601</v>
      </c>
      <c r="N128" s="107">
        <f>$X$78</f>
        <v>0</v>
      </c>
      <c r="O128" s="107" t="s">
        <v>602</v>
      </c>
      <c r="P128" s="1010">
        <f t="shared" si="11"/>
        <v>0</v>
      </c>
      <c r="Q128" s="1010"/>
      <c r="R128" s="2"/>
      <c r="S128" s="1082" t="s">
        <v>626</v>
      </c>
      <c r="T128" s="1082"/>
      <c r="U128" s="107" t="s">
        <v>620</v>
      </c>
      <c r="V128" s="115">
        <f>参照データ!$J$9*2</f>
        <v>4500</v>
      </c>
      <c r="W128" s="107" t="s">
        <v>601</v>
      </c>
      <c r="X128" s="370">
        <f>$X$87</f>
        <v>0</v>
      </c>
      <c r="Y128" s="107" t="s">
        <v>625</v>
      </c>
      <c r="Z128" s="1010">
        <f t="shared" si="12"/>
        <v>0</v>
      </c>
      <c r="AA128" s="1010"/>
      <c r="AD128" s="186"/>
    </row>
    <row r="129" spans="1:31" ht="24.95" customHeight="1" thickBot="1" x14ac:dyDescent="0.2">
      <c r="A129" s="113" t="s">
        <v>648</v>
      </c>
      <c r="B129" s="2"/>
      <c r="C129" s="2"/>
      <c r="D129" s="2"/>
      <c r="E129" s="2"/>
      <c r="F129" s="2"/>
      <c r="G129" s="2"/>
      <c r="H129" s="2"/>
      <c r="I129" s="1082" t="s">
        <v>608</v>
      </c>
      <c r="J129" s="1082"/>
      <c r="K129" s="107" t="s">
        <v>620</v>
      </c>
      <c r="L129" s="115">
        <f>参照データ!$E$9</f>
        <v>2700</v>
      </c>
      <c r="M129" s="107" t="s">
        <v>605</v>
      </c>
      <c r="N129" s="107">
        <f>$X$79</f>
        <v>0</v>
      </c>
      <c r="O129" s="107" t="s">
        <v>602</v>
      </c>
      <c r="P129" s="1010">
        <f t="shared" si="11"/>
        <v>0</v>
      </c>
      <c r="Q129" s="1010"/>
      <c r="R129" s="2"/>
      <c r="S129" s="2"/>
      <c r="T129" s="361"/>
      <c r="U129" s="107" t="s">
        <v>622</v>
      </c>
      <c r="V129" s="115">
        <f>参照データ!$J$10*2</f>
        <v>5500</v>
      </c>
      <c r="W129" s="107" t="s">
        <v>601</v>
      </c>
      <c r="X129" s="370">
        <f>$X$88</f>
        <v>0</v>
      </c>
      <c r="Y129" s="107" t="s">
        <v>602</v>
      </c>
      <c r="Z129" s="1010">
        <f t="shared" si="12"/>
        <v>0</v>
      </c>
      <c r="AA129" s="1010"/>
      <c r="AC129" s="1086" t="s">
        <v>627</v>
      </c>
      <c r="AD129" s="1087"/>
    </row>
    <row r="130" spans="1:31" ht="24.95" customHeight="1" thickBot="1" x14ac:dyDescent="0.2">
      <c r="A130" s="370" t="s">
        <v>649</v>
      </c>
      <c r="B130" s="114">
        <f>参照データ!$E$4</f>
        <v>2000</v>
      </c>
      <c r="C130" s="370" t="s">
        <v>605</v>
      </c>
      <c r="D130" s="370">
        <f>$F$67</f>
        <v>0</v>
      </c>
      <c r="E130" s="370" t="s">
        <v>603</v>
      </c>
      <c r="F130" s="1010">
        <f>B130*D130</f>
        <v>0</v>
      </c>
      <c r="G130" s="1010"/>
      <c r="H130" s="2"/>
      <c r="I130" s="116"/>
      <c r="J130" s="370"/>
      <c r="K130" s="107" t="s">
        <v>623</v>
      </c>
      <c r="L130" s="115">
        <f>参照データ!$E$11</f>
        <v>4000</v>
      </c>
      <c r="M130" s="107" t="s">
        <v>628</v>
      </c>
      <c r="N130" s="107">
        <f>$X$80</f>
        <v>0</v>
      </c>
      <c r="O130" s="107" t="s">
        <v>602</v>
      </c>
      <c r="P130" s="1010">
        <f t="shared" si="11"/>
        <v>0</v>
      </c>
      <c r="Q130" s="1010"/>
      <c r="R130" s="2"/>
      <c r="S130" s="116"/>
      <c r="T130" s="370"/>
      <c r="U130" s="107" t="s">
        <v>623</v>
      </c>
      <c r="V130" s="115">
        <f>参照データ!$J$11*2</f>
        <v>5500</v>
      </c>
      <c r="W130" s="107" t="s">
        <v>605</v>
      </c>
      <c r="X130" s="370">
        <f>$X$89</f>
        <v>0</v>
      </c>
      <c r="Y130" s="107" t="s">
        <v>629</v>
      </c>
      <c r="Z130" s="1010">
        <f t="shared" si="12"/>
        <v>0</v>
      </c>
      <c r="AA130" s="1010"/>
      <c r="AC130" s="1088">
        <f>SUM(F122:G125,P122:Q130,Z122:AA130,F130)</f>
        <v>0</v>
      </c>
      <c r="AD130" s="1089"/>
    </row>
    <row r="131" spans="1:31" ht="24.95" hidden="1" customHeight="1" x14ac:dyDescent="0.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Q131" s="2"/>
      <c r="R131" s="2"/>
      <c r="S131" s="2"/>
    </row>
    <row r="132" spans="1:31" ht="24.95" hidden="1" customHeight="1" x14ac:dyDescent="0.1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Q132" s="2"/>
      <c r="R132" s="2"/>
      <c r="S132" s="2"/>
    </row>
    <row r="133" spans="1:31" ht="24.95" customHeight="1" x14ac:dyDescent="0.15">
      <c r="A133" s="111"/>
      <c r="B133" s="111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</row>
    <row r="134" spans="1:31" ht="24.95" customHeight="1" thickBot="1" x14ac:dyDescent="0.2">
      <c r="A134" s="113" t="s">
        <v>733</v>
      </c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Q134" s="2"/>
      <c r="R134" s="2"/>
      <c r="S134" s="2"/>
    </row>
    <row r="135" spans="1:31" ht="24.95" hidden="1" customHeight="1" x14ac:dyDescent="0.15">
      <c r="A135" s="571" t="s">
        <v>1097</v>
      </c>
      <c r="B135" s="689">
        <f>参照データ!$E$22</f>
        <v>5000</v>
      </c>
      <c r="C135" s="370" t="s">
        <v>596</v>
      </c>
      <c r="D135" s="370">
        <f>SUM($R$29:$R$30)</f>
        <v>0</v>
      </c>
      <c r="E135" s="370" t="s">
        <v>597</v>
      </c>
      <c r="F135" s="1010">
        <f>B135*D135</f>
        <v>0</v>
      </c>
      <c r="G135" s="1010"/>
      <c r="H135" s="2"/>
      <c r="I135" s="1085" t="s">
        <v>1091</v>
      </c>
      <c r="J135" s="1085"/>
      <c r="K135" s="1085"/>
      <c r="L135" s="689">
        <f>参照データ!$J$22*2</f>
        <v>7000</v>
      </c>
      <c r="M135" s="370" t="s">
        <v>596</v>
      </c>
      <c r="N135" s="370">
        <f>$R$38</f>
        <v>0</v>
      </c>
      <c r="O135" s="370" t="s">
        <v>597</v>
      </c>
      <c r="P135" s="1010">
        <f>L135*N135</f>
        <v>0</v>
      </c>
      <c r="Q135" s="1010"/>
      <c r="R135" s="2"/>
      <c r="S135" s="2"/>
    </row>
    <row r="136" spans="1:31" ht="24.95" hidden="1" customHeight="1" x14ac:dyDescent="0.15">
      <c r="A136" s="571" t="s">
        <v>522</v>
      </c>
      <c r="B136" s="114">
        <f>参照データ!$F$22</f>
        <v>5000</v>
      </c>
      <c r="C136" s="370" t="s">
        <v>596</v>
      </c>
      <c r="D136" s="370">
        <f>SUM($R$31:$R$32)</f>
        <v>0</v>
      </c>
      <c r="E136" s="370" t="s">
        <v>597</v>
      </c>
      <c r="F136" s="1010">
        <f>B136*D136</f>
        <v>0</v>
      </c>
      <c r="G136" s="1010"/>
      <c r="H136" s="2"/>
      <c r="I136" s="1084" t="s">
        <v>1129</v>
      </c>
      <c r="J136" s="1084"/>
      <c r="K136" s="1084"/>
      <c r="L136" s="690">
        <f>参照データ!$K$22</f>
        <v>12000</v>
      </c>
      <c r="M136" s="370" t="s">
        <v>596</v>
      </c>
      <c r="N136" s="370">
        <f>$R$39</f>
        <v>0</v>
      </c>
      <c r="O136" s="370" t="s">
        <v>597</v>
      </c>
      <c r="P136" s="1010">
        <f>L136*N136</f>
        <v>0</v>
      </c>
      <c r="Q136" s="1010"/>
      <c r="R136" s="2"/>
      <c r="S136" s="2"/>
    </row>
    <row r="137" spans="1:31" ht="24.95" hidden="1" customHeight="1" thickBot="1" x14ac:dyDescent="0.2">
      <c r="A137" s="736" t="s">
        <v>523</v>
      </c>
      <c r="B137" s="114">
        <f>参照データ!$G$22</f>
        <v>5000</v>
      </c>
      <c r="C137" s="370" t="s">
        <v>596</v>
      </c>
      <c r="D137" s="370">
        <f>SUM($R$33:$R$34)</f>
        <v>0</v>
      </c>
      <c r="E137" s="370" t="s">
        <v>597</v>
      </c>
      <c r="F137" s="1010">
        <f>B137*D137</f>
        <v>0</v>
      </c>
      <c r="G137" s="1010"/>
      <c r="H137" s="2"/>
      <c r="I137" s="1084" t="s">
        <v>1098</v>
      </c>
      <c r="J137" s="1084"/>
      <c r="K137" s="1084"/>
      <c r="L137" s="690">
        <f>参照データ!$L$22</f>
        <v>20000</v>
      </c>
      <c r="M137" s="370" t="s">
        <v>596</v>
      </c>
      <c r="N137" s="370">
        <f>$R$40</f>
        <v>0</v>
      </c>
      <c r="O137" s="370" t="s">
        <v>597</v>
      </c>
      <c r="P137" s="1010"/>
      <c r="Q137" s="1010"/>
      <c r="R137" s="2"/>
      <c r="S137" s="2"/>
    </row>
    <row r="138" spans="1:31" ht="24.95" customHeight="1" thickBot="1" x14ac:dyDescent="0.2">
      <c r="A138" s="571" t="s">
        <v>1185</v>
      </c>
      <c r="B138" s="114">
        <f>参照データ!$H$22</f>
        <v>7000</v>
      </c>
      <c r="C138" s="109" t="s">
        <v>596</v>
      </c>
      <c r="D138" s="370">
        <f>SUM($R$35:$R$36)</f>
        <v>0</v>
      </c>
      <c r="E138" s="109" t="s">
        <v>597</v>
      </c>
      <c r="F138" s="1010">
        <f>B138*D138</f>
        <v>0</v>
      </c>
      <c r="G138" s="1010"/>
      <c r="H138" s="2"/>
      <c r="I138" s="1084" t="s">
        <v>1156</v>
      </c>
      <c r="J138" s="1084"/>
      <c r="K138" s="1084"/>
      <c r="L138" s="690">
        <f>参照データ!$M$22</f>
        <v>15000</v>
      </c>
      <c r="M138" s="370" t="s">
        <v>596</v>
      </c>
      <c r="N138" s="370">
        <f>$R$41</f>
        <v>0</v>
      </c>
      <c r="O138" s="370" t="s">
        <v>597</v>
      </c>
      <c r="P138" s="1010">
        <f>L138*N138</f>
        <v>0</v>
      </c>
      <c r="Q138" s="1010"/>
      <c r="R138" s="2"/>
      <c r="S138" s="2"/>
      <c r="AC138" s="1086" t="s">
        <v>861</v>
      </c>
      <c r="AD138" s="1087"/>
    </row>
    <row r="139" spans="1:31" ht="24.95" customHeight="1" thickBot="1" x14ac:dyDescent="0.2">
      <c r="A139" s="572" t="s">
        <v>1203</v>
      </c>
      <c r="B139" s="114">
        <f>参照データ!$I$22*2</f>
        <v>12000</v>
      </c>
      <c r="C139" s="107" t="s">
        <v>596</v>
      </c>
      <c r="D139" s="370">
        <f>$R$37</f>
        <v>0</v>
      </c>
      <c r="E139" s="107" t="s">
        <v>597</v>
      </c>
      <c r="F139" s="1010">
        <f>B139*D139</f>
        <v>0</v>
      </c>
      <c r="G139" s="1010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AC139" s="1088">
        <f>SUM(F138,F139,F142)</f>
        <v>0</v>
      </c>
      <c r="AD139" s="1089"/>
    </row>
    <row r="140" spans="1:31" ht="24.95" hidden="1" customHeight="1" x14ac:dyDescent="0.15">
      <c r="A140" s="614" t="s">
        <v>732</v>
      </c>
      <c r="B140" s="611">
        <v>15000</v>
      </c>
      <c r="C140" s="610" t="s">
        <v>596</v>
      </c>
      <c r="D140" s="610">
        <f>$R$42</f>
        <v>0</v>
      </c>
      <c r="E140" s="610" t="s">
        <v>597</v>
      </c>
      <c r="F140" s="1081">
        <f t="shared" ref="F140" si="13">B140*D140</f>
        <v>0</v>
      </c>
      <c r="G140" s="1081"/>
      <c r="H140" s="2"/>
      <c r="I140" s="2"/>
      <c r="J140" s="2"/>
      <c r="K140" s="2"/>
      <c r="L140" s="2"/>
      <c r="Q140" s="2"/>
      <c r="R140" s="2"/>
      <c r="S140" s="2"/>
      <c r="AC140" s="609"/>
      <c r="AD140" s="609"/>
    </row>
    <row r="141" spans="1:31" ht="24.95" hidden="1" customHeight="1" x14ac:dyDescent="0.1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Q141" s="2"/>
      <c r="R141" s="2"/>
      <c r="S141" s="2"/>
    </row>
    <row r="142" spans="1:31" ht="24.95" customHeight="1" thickBot="1" x14ac:dyDescent="0.2">
      <c r="A142" s="572" t="s">
        <v>1204</v>
      </c>
      <c r="B142" s="114">
        <f>参照データ!$L$22</f>
        <v>20000</v>
      </c>
      <c r="C142" s="107" t="s">
        <v>596</v>
      </c>
      <c r="D142" s="370">
        <f>$R$40</f>
        <v>0</v>
      </c>
      <c r="E142" s="107" t="s">
        <v>597</v>
      </c>
      <c r="F142" s="1010">
        <f>B142*D142</f>
        <v>0</v>
      </c>
      <c r="G142" s="1010"/>
      <c r="H142" s="2"/>
      <c r="I142" s="2"/>
      <c r="J142" s="2"/>
      <c r="K142" s="2"/>
      <c r="L142" s="2"/>
      <c r="Q142" s="2"/>
      <c r="R142" s="2"/>
      <c r="S142" s="2"/>
    </row>
    <row r="143" spans="1:31" ht="33" customHeight="1" thickTop="1" thickBot="1" x14ac:dyDescent="0.2">
      <c r="A143" s="2"/>
      <c r="B143" s="2"/>
      <c r="E143" s="2"/>
      <c r="F143" s="2"/>
      <c r="G143" s="2"/>
      <c r="H143" s="2"/>
      <c r="I143" s="2"/>
      <c r="J143" s="2"/>
      <c r="K143" s="1090" t="s">
        <v>630</v>
      </c>
      <c r="L143" s="1090"/>
      <c r="M143" s="1090"/>
      <c r="N143" s="1090"/>
      <c r="O143" s="1090"/>
      <c r="P143" s="1091"/>
      <c r="Q143" s="1092" t="s">
        <v>1162</v>
      </c>
      <c r="R143" s="1093"/>
      <c r="S143" s="1093"/>
      <c r="T143" s="1093"/>
      <c r="U143" s="1093"/>
      <c r="V143" s="1094"/>
      <c r="X143" s="1095" t="s">
        <v>1163</v>
      </c>
      <c r="Y143" s="1096"/>
      <c r="Z143" s="1096"/>
      <c r="AA143" s="1097"/>
      <c r="AB143" s="1099">
        <f>SUM($AC$118,$AC$130,AC139,X155)</f>
        <v>0</v>
      </c>
      <c r="AC143" s="1100"/>
      <c r="AD143" s="1101"/>
    </row>
    <row r="144" spans="1:31" ht="24.95" customHeight="1" thickTop="1" x14ac:dyDescent="0.15">
      <c r="A144" s="2"/>
      <c r="B144" s="2"/>
      <c r="C144" s="186"/>
      <c r="D144" s="186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W144" s="671"/>
      <c r="X144" s="1098" t="s">
        <v>1213</v>
      </c>
      <c r="Y144" s="1098"/>
      <c r="Z144" s="1098"/>
      <c r="AA144" s="1098"/>
      <c r="AB144" s="1098"/>
      <c r="AC144" s="1098"/>
      <c r="AD144" s="1098"/>
      <c r="AE144" s="671"/>
    </row>
    <row r="145" spans="1:27" ht="24.95" hidden="1" customHeight="1" x14ac:dyDescent="0.1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</row>
    <row r="146" spans="1:27" ht="24.95" hidden="1" customHeight="1" x14ac:dyDescent="0.1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113" t="s">
        <v>595</v>
      </c>
      <c r="T146" s="112"/>
    </row>
    <row r="147" spans="1:27" ht="24.95" hidden="1" customHeight="1" x14ac:dyDescent="0.1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1080" t="s">
        <v>642</v>
      </c>
      <c r="T147" s="1080"/>
      <c r="U147" s="370"/>
      <c r="V147" s="114">
        <f>参照データ!$E$3</f>
        <v>2700</v>
      </c>
      <c r="W147" s="370" t="s">
        <v>601</v>
      </c>
      <c r="X147" s="370">
        <f>$X$47</f>
        <v>0</v>
      </c>
      <c r="Y147" s="370" t="s">
        <v>602</v>
      </c>
      <c r="Z147" s="1010">
        <f>V147*X147</f>
        <v>0</v>
      </c>
      <c r="AA147" s="1010"/>
    </row>
    <row r="148" spans="1:27" ht="24.95" hidden="1" customHeight="1" x14ac:dyDescent="0.1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1080" t="s">
        <v>643</v>
      </c>
      <c r="T148" s="1080"/>
      <c r="U148" s="107"/>
      <c r="V148" s="114">
        <f>参照データ!$E$3</f>
        <v>2700</v>
      </c>
      <c r="W148" s="107" t="s">
        <v>601</v>
      </c>
      <c r="X148" s="107">
        <f>$X$48</f>
        <v>0</v>
      </c>
      <c r="Y148" s="107" t="s">
        <v>606</v>
      </c>
      <c r="Z148" s="1010">
        <f t="shared" ref="Z148:Z152" si="14">V148*X148</f>
        <v>0</v>
      </c>
      <c r="AA148" s="1010"/>
    </row>
    <row r="149" spans="1:27" ht="24.95" hidden="1" customHeight="1" x14ac:dyDescent="0.15">
      <c r="A149" s="2"/>
      <c r="B149" s="2"/>
      <c r="C149" s="186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1080" t="s">
        <v>644</v>
      </c>
      <c r="T149" s="1080"/>
      <c r="U149" s="107"/>
      <c r="V149" s="114">
        <f>参照データ!$E$3</f>
        <v>2700</v>
      </c>
      <c r="W149" s="107" t="s">
        <v>609</v>
      </c>
      <c r="X149" s="107">
        <f>$X$49</f>
        <v>0</v>
      </c>
      <c r="Y149" s="107" t="s">
        <v>603</v>
      </c>
      <c r="Z149" s="1010">
        <f t="shared" si="14"/>
        <v>0</v>
      </c>
      <c r="AA149" s="1010"/>
    </row>
    <row r="150" spans="1:27" ht="24.95" hidden="1" customHeight="1" x14ac:dyDescent="0.1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1080" t="s">
        <v>645</v>
      </c>
      <c r="T150" s="1080"/>
      <c r="U150" s="107"/>
      <c r="V150" s="114">
        <f>参照データ!$E$3</f>
        <v>2700</v>
      </c>
      <c r="W150" s="108" t="s">
        <v>596</v>
      </c>
      <c r="X150" s="108">
        <f>$X$50</f>
        <v>0</v>
      </c>
      <c r="Y150" s="108" t="s">
        <v>603</v>
      </c>
      <c r="Z150" s="1010">
        <f t="shared" si="14"/>
        <v>0</v>
      </c>
      <c r="AA150" s="1010"/>
    </row>
    <row r="151" spans="1:27" ht="24.95" hidden="1" customHeight="1" x14ac:dyDescent="0.1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1080" t="s">
        <v>646</v>
      </c>
      <c r="T151" s="1080"/>
      <c r="U151" s="107"/>
      <c r="V151" s="114">
        <f>参照データ!$E$3</f>
        <v>2700</v>
      </c>
      <c r="W151" s="108" t="s">
        <v>605</v>
      </c>
      <c r="X151" s="108">
        <f>$X$51</f>
        <v>0</v>
      </c>
      <c r="Y151" s="108" t="s">
        <v>612</v>
      </c>
      <c r="Z151" s="1010">
        <f t="shared" si="14"/>
        <v>0</v>
      </c>
      <c r="AA151" s="1010"/>
    </row>
    <row r="152" spans="1:27" ht="24.95" hidden="1" customHeight="1" x14ac:dyDescent="0.15">
      <c r="A152" s="2"/>
      <c r="B152" s="364"/>
      <c r="C152" s="364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1080" t="s">
        <v>647</v>
      </c>
      <c r="T152" s="1080"/>
      <c r="U152" s="107"/>
      <c r="V152" s="114">
        <f>参照データ!$E$3</f>
        <v>2700</v>
      </c>
      <c r="W152" s="107" t="s">
        <v>605</v>
      </c>
      <c r="X152" s="107">
        <f>$X$52</f>
        <v>0</v>
      </c>
      <c r="Y152" s="107" t="s">
        <v>612</v>
      </c>
      <c r="Z152" s="1010">
        <f t="shared" si="14"/>
        <v>0</v>
      </c>
      <c r="AA152" s="1010"/>
    </row>
    <row r="153" spans="1:27" ht="24.95" hidden="1" customHeight="1" x14ac:dyDescent="0.15">
      <c r="A153" s="2"/>
      <c r="B153" s="364"/>
      <c r="C153" s="364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</row>
    <row r="154" spans="1:27" ht="24.95" customHeight="1" x14ac:dyDescent="0.15">
      <c r="A154" s="2"/>
      <c r="B154" s="364"/>
      <c r="C154" s="364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750"/>
      <c r="O154" s="751" t="s">
        <v>1205</v>
      </c>
      <c r="P154" s="750"/>
      <c r="Q154" s="750"/>
      <c r="R154" s="2"/>
      <c r="S154" s="154"/>
    </row>
    <row r="155" spans="1:27" ht="24.95" customHeight="1" x14ac:dyDescent="0.15">
      <c r="A155" s="2"/>
      <c r="B155" s="364"/>
      <c r="C155" s="364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X155" s="2" t="str">
        <f>IF(K91&gt;=1,1000,"")</f>
        <v/>
      </c>
    </row>
    <row r="156" spans="1:27" ht="24.95" customHeight="1" x14ac:dyDescent="0.15">
      <c r="A156" s="2"/>
      <c r="B156" s="364"/>
      <c r="C156" s="364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</row>
    <row r="157" spans="1:27" ht="24.95" customHeight="1" x14ac:dyDescent="0.15">
      <c r="A157" s="2"/>
      <c r="B157" s="364"/>
      <c r="C157" s="364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</row>
    <row r="158" spans="1:27" ht="24.95" customHeight="1" x14ac:dyDescent="0.15">
      <c r="A158" s="2"/>
      <c r="B158" s="364"/>
      <c r="C158" s="364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</row>
    <row r="159" spans="1:27" ht="24.95" customHeight="1" x14ac:dyDescent="0.15">
      <c r="A159" s="2"/>
      <c r="B159" s="364"/>
      <c r="C159" s="364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</row>
    <row r="160" spans="1:27" ht="24.95" customHeight="1" x14ac:dyDescent="0.15">
      <c r="A160" s="2"/>
      <c r="B160" s="364"/>
      <c r="C160" s="364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</row>
    <row r="161" spans="1:32" ht="24.95" customHeight="1" x14ac:dyDescent="0.15">
      <c r="A161" s="2"/>
      <c r="B161" s="364"/>
      <c r="C161" s="364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</row>
    <row r="162" spans="1:32" ht="39.75" customHeight="1" x14ac:dyDescent="0.15">
      <c r="A162" s="364"/>
      <c r="B162" s="364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</row>
    <row r="163" spans="1:32" ht="24.95" customHeight="1" x14ac:dyDescent="0.15">
      <c r="A163" s="2"/>
      <c r="B163" s="364"/>
      <c r="C163" s="364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</row>
    <row r="164" spans="1:32" ht="24.95" customHeight="1" x14ac:dyDescent="0.15">
      <c r="A164" s="2"/>
      <c r="B164" s="364"/>
      <c r="C164" s="364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</row>
    <row r="165" spans="1:32" ht="24.95" customHeight="1" x14ac:dyDescent="0.15">
      <c r="A165" s="2"/>
      <c r="B165" s="364"/>
      <c r="C165" s="364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</row>
    <row r="166" spans="1:32" ht="24.95" customHeight="1" x14ac:dyDescent="0.15">
      <c r="A166" s="2"/>
      <c r="B166" s="364"/>
      <c r="C166" s="364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</row>
    <row r="167" spans="1:32" ht="24.95" customHeight="1" x14ac:dyDescent="0.15">
      <c r="A167" s="2"/>
      <c r="B167" s="364"/>
      <c r="C167" s="364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</row>
    <row r="168" spans="1:32" ht="24.95" customHeight="1" x14ac:dyDescent="0.15">
      <c r="A168" s="2"/>
      <c r="B168" s="364"/>
      <c r="C168" s="364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</row>
    <row r="169" spans="1:32" ht="24.95" customHeight="1" x14ac:dyDescent="0.15">
      <c r="A169" s="2"/>
      <c r="B169" s="364"/>
      <c r="C169" s="364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</row>
    <row r="170" spans="1:32" ht="24.95" customHeight="1" x14ac:dyDescent="0.15">
      <c r="A170" s="2"/>
      <c r="B170" s="364"/>
      <c r="C170" s="364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</row>
    <row r="171" spans="1:32" ht="24.95" customHeight="1" x14ac:dyDescent="0.1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N171" s="362"/>
      <c r="R171" s="363"/>
      <c r="S171" s="363"/>
      <c r="V171" s="361"/>
      <c r="W171" s="361"/>
      <c r="X171" s="362"/>
      <c r="Y171" s="361"/>
      <c r="Z171" s="361"/>
      <c r="AA171" s="361"/>
      <c r="AB171" s="363"/>
      <c r="AC171" s="363"/>
      <c r="AE171" s="364"/>
      <c r="AF171" s="364"/>
    </row>
    <row r="172" spans="1:32" ht="24.95" customHeight="1" x14ac:dyDescent="0.1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N172" s="362"/>
      <c r="R172" s="363"/>
      <c r="S172" s="363"/>
      <c r="V172" s="361"/>
      <c r="W172" s="361"/>
      <c r="X172" s="362"/>
      <c r="Y172" s="361"/>
      <c r="Z172" s="361"/>
      <c r="AA172" s="361"/>
      <c r="AB172" s="363"/>
      <c r="AC172" s="363"/>
      <c r="AE172" s="364"/>
      <c r="AF172" s="364"/>
    </row>
    <row r="173" spans="1:32" ht="24.95" customHeight="1" x14ac:dyDescent="0.1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N173" s="362"/>
      <c r="R173" s="363"/>
      <c r="S173" s="363"/>
      <c r="V173" s="361"/>
      <c r="W173" s="361"/>
      <c r="X173" s="362"/>
      <c r="Y173" s="361"/>
      <c r="Z173" s="361"/>
      <c r="AA173" s="361"/>
      <c r="AB173" s="363"/>
      <c r="AC173" s="363"/>
      <c r="AE173" s="364"/>
      <c r="AF173" s="364"/>
    </row>
    <row r="174" spans="1:32" ht="24.95" customHeight="1" x14ac:dyDescent="0.1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S174" s="2"/>
    </row>
    <row r="175" spans="1:32" ht="33" customHeight="1" x14ac:dyDescent="0.15">
      <c r="A175" s="2"/>
      <c r="B175" s="2"/>
      <c r="C175" s="2"/>
      <c r="D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</row>
    <row r="176" spans="1:32" ht="24.95" customHeight="1" x14ac:dyDescent="0.1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P176" s="2"/>
      <c r="Q176" s="2"/>
      <c r="R176" s="2"/>
      <c r="S176" s="2"/>
    </row>
    <row r="177" spans="1:20" ht="24.95" customHeight="1" x14ac:dyDescent="0.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P177" s="2"/>
      <c r="Q177" s="2"/>
      <c r="R177" s="2"/>
      <c r="S177" s="2"/>
    </row>
    <row r="178" spans="1:20" x14ac:dyDescent="0.15">
      <c r="T178" s="361"/>
    </row>
    <row r="179" spans="1:20" x14ac:dyDescent="0.15">
      <c r="T179" s="361"/>
    </row>
    <row r="180" spans="1:20" x14ac:dyDescent="0.15">
      <c r="M180" s="2"/>
    </row>
  </sheetData>
  <sheetProtection algorithmName="SHA-512" hashValue="FEdYs9a3+dWs00RDci5Y5mTySNIrfLbAUTxio0qhkKrd7vX975nC4A3QXIANXGczlTXuR7w0m+elJ0dQEMIa3g==" saltValue="4ytI23TVmV3Cr8npwgwRxQ==" spinCount="100000" sheet="1" selectLockedCells="1"/>
  <mergeCells count="525">
    <mergeCell ref="F75:H75"/>
    <mergeCell ref="F72:H72"/>
    <mergeCell ref="I75:K75"/>
    <mergeCell ref="U63:W63"/>
    <mergeCell ref="U57:W57"/>
    <mergeCell ref="R59:T59"/>
    <mergeCell ref="O79:Q79"/>
    <mergeCell ref="I79:K79"/>
    <mergeCell ref="C37:D37"/>
    <mergeCell ref="F37:K37"/>
    <mergeCell ref="L37:Q37"/>
    <mergeCell ref="C38:D38"/>
    <mergeCell ref="C39:D39"/>
    <mergeCell ref="F40:Q40"/>
    <mergeCell ref="F39:Q39"/>
    <mergeCell ref="O75:Q75"/>
    <mergeCell ref="L76:N76"/>
    <mergeCell ref="F78:H78"/>
    <mergeCell ref="F79:H79"/>
    <mergeCell ref="O77:Q77"/>
    <mergeCell ref="I77:K77"/>
    <mergeCell ref="O76:Q76"/>
    <mergeCell ref="L77:N77"/>
    <mergeCell ref="L78:N78"/>
    <mergeCell ref="F136:G136"/>
    <mergeCell ref="F122:G122"/>
    <mergeCell ref="F117:G117"/>
    <mergeCell ref="I117:J117"/>
    <mergeCell ref="G104:Z104"/>
    <mergeCell ref="C107:G107"/>
    <mergeCell ref="C84:D86"/>
    <mergeCell ref="C81:D83"/>
    <mergeCell ref="C87:D89"/>
    <mergeCell ref="F89:H89"/>
    <mergeCell ref="F83:H83"/>
    <mergeCell ref="F87:H87"/>
    <mergeCell ref="O88:Q88"/>
    <mergeCell ref="O87:Q87"/>
    <mergeCell ref="L88:N88"/>
    <mergeCell ref="O89:Q89"/>
    <mergeCell ref="O86:Q86"/>
    <mergeCell ref="F84:H84"/>
    <mergeCell ref="F85:H85"/>
    <mergeCell ref="F86:H86"/>
    <mergeCell ref="I89:K89"/>
    <mergeCell ref="F88:H88"/>
    <mergeCell ref="R88:T88"/>
    <mergeCell ref="R86:T86"/>
    <mergeCell ref="I50:K50"/>
    <mergeCell ref="L50:N50"/>
    <mergeCell ref="O50:Q50"/>
    <mergeCell ref="F49:H49"/>
    <mergeCell ref="F50:H50"/>
    <mergeCell ref="F31:K31"/>
    <mergeCell ref="I61:K61"/>
    <mergeCell ref="L61:N61"/>
    <mergeCell ref="F45:H45"/>
    <mergeCell ref="F46:H46"/>
    <mergeCell ref="L47:N47"/>
    <mergeCell ref="O47:Q47"/>
    <mergeCell ref="F48:H48"/>
    <mergeCell ref="L49:N49"/>
    <mergeCell ref="I44:N44"/>
    <mergeCell ref="F33:K33"/>
    <mergeCell ref="L33:Q33"/>
    <mergeCell ref="F34:K34"/>
    <mergeCell ref="L34:Q34"/>
    <mergeCell ref="F35:K35"/>
    <mergeCell ref="L35:Q35"/>
    <mergeCell ref="F36:K36"/>
    <mergeCell ref="L36:Q36"/>
    <mergeCell ref="O48:Q48"/>
    <mergeCell ref="F77:H77"/>
    <mergeCell ref="S91:T92"/>
    <mergeCell ref="U79:W79"/>
    <mergeCell ref="U80:W80"/>
    <mergeCell ref="U81:W81"/>
    <mergeCell ref="U82:W82"/>
    <mergeCell ref="U83:W83"/>
    <mergeCell ref="U84:W84"/>
    <mergeCell ref="U85:W85"/>
    <mergeCell ref="U86:W86"/>
    <mergeCell ref="U87:W87"/>
    <mergeCell ref="R83:T83"/>
    <mergeCell ref="U91:V92"/>
    <mergeCell ref="R80:T80"/>
    <mergeCell ref="U88:W88"/>
    <mergeCell ref="R79:T79"/>
    <mergeCell ref="U89:W89"/>
    <mergeCell ref="R84:T84"/>
    <mergeCell ref="R85:T85"/>
    <mergeCell ref="I84:K84"/>
    <mergeCell ref="I85:K85"/>
    <mergeCell ref="I92:J92"/>
    <mergeCell ref="I91:J91"/>
    <mergeCell ref="I81:K81"/>
    <mergeCell ref="X19:X20"/>
    <mergeCell ref="R20:W20"/>
    <mergeCell ref="O20:Q20"/>
    <mergeCell ref="L20:N20"/>
    <mergeCell ref="O18:Q18"/>
    <mergeCell ref="L18:N18"/>
    <mergeCell ref="R18:W18"/>
    <mergeCell ref="L19:N19"/>
    <mergeCell ref="R89:T89"/>
    <mergeCell ref="R87:T87"/>
    <mergeCell ref="O85:Q85"/>
    <mergeCell ref="O81:Q81"/>
    <mergeCell ref="O83:Q83"/>
    <mergeCell ref="O84:Q84"/>
    <mergeCell ref="L89:N89"/>
    <mergeCell ref="O78:Q78"/>
    <mergeCell ref="F41:Q41"/>
    <mergeCell ref="F29:K29"/>
    <mergeCell ref="L29:Q29"/>
    <mergeCell ref="F30:K30"/>
    <mergeCell ref="L30:Q30"/>
    <mergeCell ref="L52:N52"/>
    <mergeCell ref="F63:H63"/>
    <mergeCell ref="L62:N62"/>
    <mergeCell ref="O7:Q7"/>
    <mergeCell ref="R7:T7"/>
    <mergeCell ref="L13:N13"/>
    <mergeCell ref="O13:Q13"/>
    <mergeCell ref="O12:Q12"/>
    <mergeCell ref="R12:T12"/>
    <mergeCell ref="R13:T13"/>
    <mergeCell ref="L12:N12"/>
    <mergeCell ref="U15:W15"/>
    <mergeCell ref="R10:T10"/>
    <mergeCell ref="L15:N15"/>
    <mergeCell ref="O15:Q15"/>
    <mergeCell ref="R15:T15"/>
    <mergeCell ref="O10:Q10"/>
    <mergeCell ref="O9:Q9"/>
    <mergeCell ref="R9:T9"/>
    <mergeCell ref="O11:Q11"/>
    <mergeCell ref="F12:K12"/>
    <mergeCell ref="C8:D8"/>
    <mergeCell ref="C9:D9"/>
    <mergeCell ref="C10:D10"/>
    <mergeCell ref="R11:T11"/>
    <mergeCell ref="F15:H15"/>
    <mergeCell ref="I15:K15"/>
    <mergeCell ref="F16:K16"/>
    <mergeCell ref="R16:W16"/>
    <mergeCell ref="O16:Q16"/>
    <mergeCell ref="O49:Q49"/>
    <mergeCell ref="Y1:AA1"/>
    <mergeCell ref="W3:X3"/>
    <mergeCell ref="Y3:AA3"/>
    <mergeCell ref="Z11:AA11"/>
    <mergeCell ref="Z12:AA13"/>
    <mergeCell ref="X15:X16"/>
    <mergeCell ref="X17:X18"/>
    <mergeCell ref="Y4:AA4"/>
    <mergeCell ref="I1:R1"/>
    <mergeCell ref="W1:X1"/>
    <mergeCell ref="I8:K8"/>
    <mergeCell ref="L8:N8"/>
    <mergeCell ref="O8:Q8"/>
    <mergeCell ref="R8:T8"/>
    <mergeCell ref="F9:K9"/>
    <mergeCell ref="F10:K10"/>
    <mergeCell ref="V4:X4"/>
    <mergeCell ref="O4:P4"/>
    <mergeCell ref="Q4:T4"/>
    <mergeCell ref="A3:K3"/>
    <mergeCell ref="A8:B13"/>
    <mergeCell ref="O17:Q17"/>
    <mergeCell ref="F11:K11"/>
    <mergeCell ref="R47:T47"/>
    <mergeCell ref="Z23:AA23"/>
    <mergeCell ref="Z24:AA25"/>
    <mergeCell ref="O23:Q23"/>
    <mergeCell ref="O44:Q44"/>
    <mergeCell ref="O25:Q25"/>
    <mergeCell ref="F42:Q42"/>
    <mergeCell ref="F25:K25"/>
    <mergeCell ref="L25:N25"/>
    <mergeCell ref="L24:N24"/>
    <mergeCell ref="O24:Q24"/>
    <mergeCell ref="R24:T24"/>
    <mergeCell ref="F27:K28"/>
    <mergeCell ref="F32:K32"/>
    <mergeCell ref="F47:H47"/>
    <mergeCell ref="I47:K47"/>
    <mergeCell ref="I46:K46"/>
    <mergeCell ref="L46:N46"/>
    <mergeCell ref="O46:Q46"/>
    <mergeCell ref="U71:W71"/>
    <mergeCell ref="U73:W73"/>
    <mergeCell ref="R63:T63"/>
    <mergeCell ref="U58:W58"/>
    <mergeCell ref="O56:Q56"/>
    <mergeCell ref="R74:T74"/>
    <mergeCell ref="X21:X22"/>
    <mergeCell ref="U24:W24"/>
    <mergeCell ref="R49:T49"/>
    <mergeCell ref="X44:X46"/>
    <mergeCell ref="U48:W48"/>
    <mergeCell ref="U49:W49"/>
    <mergeCell ref="R44:T44"/>
    <mergeCell ref="R46:T46"/>
    <mergeCell ref="R27:R28"/>
    <mergeCell ref="U23:W23"/>
    <mergeCell ref="R21:T21"/>
    <mergeCell ref="U45:W45"/>
    <mergeCell ref="U44:W44"/>
    <mergeCell ref="U25:W25"/>
    <mergeCell ref="R48:T48"/>
    <mergeCell ref="U46:W46"/>
    <mergeCell ref="U47:W47"/>
    <mergeCell ref="U50:W50"/>
    <mergeCell ref="Y54:AA54"/>
    <mergeCell ref="Z60:AA60"/>
    <mergeCell ref="Z61:AA62"/>
    <mergeCell ref="U51:W51"/>
    <mergeCell ref="R52:T52"/>
    <mergeCell ref="O51:Q51"/>
    <mergeCell ref="Z67:AA68"/>
    <mergeCell ref="O52:Q52"/>
    <mergeCell ref="R76:T76"/>
    <mergeCell ref="O72:Q72"/>
    <mergeCell ref="U60:W60"/>
    <mergeCell ref="R60:T60"/>
    <mergeCell ref="R64:T64"/>
    <mergeCell ref="U61:W61"/>
    <mergeCell ref="U62:W62"/>
    <mergeCell ref="R62:T62"/>
    <mergeCell ref="W54:X54"/>
    <mergeCell ref="R58:T58"/>
    <mergeCell ref="X56:X58"/>
    <mergeCell ref="O62:Q62"/>
    <mergeCell ref="O61:Q61"/>
    <mergeCell ref="O60:Q60"/>
    <mergeCell ref="U74:W74"/>
    <mergeCell ref="U72:W72"/>
    <mergeCell ref="I56:N56"/>
    <mergeCell ref="R56:T56"/>
    <mergeCell ref="O69:Q69"/>
    <mergeCell ref="I58:K58"/>
    <mergeCell ref="I52:K52"/>
    <mergeCell ref="L58:N58"/>
    <mergeCell ref="I51:K51"/>
    <mergeCell ref="I63:K63"/>
    <mergeCell ref="R71:T71"/>
    <mergeCell ref="R61:T61"/>
    <mergeCell ref="I62:K62"/>
    <mergeCell ref="I60:K60"/>
    <mergeCell ref="L48:N48"/>
    <mergeCell ref="Z87:AA87"/>
    <mergeCell ref="Z88:AA89"/>
    <mergeCell ref="R82:T82"/>
    <mergeCell ref="R77:T77"/>
    <mergeCell ref="R81:T81"/>
    <mergeCell ref="O80:Q80"/>
    <mergeCell ref="U75:W75"/>
    <mergeCell ref="U76:W76"/>
    <mergeCell ref="U77:W77"/>
    <mergeCell ref="U78:W78"/>
    <mergeCell ref="R78:T78"/>
    <mergeCell ref="R75:T75"/>
    <mergeCell ref="L71:N71"/>
    <mergeCell ref="R69:T69"/>
    <mergeCell ref="X69:X71"/>
    <mergeCell ref="U70:W70"/>
    <mergeCell ref="O71:Q71"/>
    <mergeCell ref="R51:T51"/>
    <mergeCell ref="Z49:AA50"/>
    <mergeCell ref="Z48:AA48"/>
    <mergeCell ref="L84:N84"/>
    <mergeCell ref="Z66:AA66"/>
    <mergeCell ref="L73:N73"/>
    <mergeCell ref="C40:D40"/>
    <mergeCell ref="C19:D20"/>
    <mergeCell ref="F20:K20"/>
    <mergeCell ref="F23:K23"/>
    <mergeCell ref="F22:K22"/>
    <mergeCell ref="R22:W22"/>
    <mergeCell ref="F21:K21"/>
    <mergeCell ref="O22:Q22"/>
    <mergeCell ref="L22:N22"/>
    <mergeCell ref="L21:N21"/>
    <mergeCell ref="R23:T23"/>
    <mergeCell ref="U21:W21"/>
    <mergeCell ref="O21:Q21"/>
    <mergeCell ref="L38:Q38"/>
    <mergeCell ref="L32:Q32"/>
    <mergeCell ref="L31:Q31"/>
    <mergeCell ref="O19:Q19"/>
    <mergeCell ref="R19:T19"/>
    <mergeCell ref="U19:W19"/>
    <mergeCell ref="E27:E28"/>
    <mergeCell ref="C33:D34"/>
    <mergeCell ref="C35:D36"/>
    <mergeCell ref="F38:K38"/>
    <mergeCell ref="R25:T25"/>
    <mergeCell ref="L27:Q28"/>
    <mergeCell ref="C23:D23"/>
    <mergeCell ref="A17:B25"/>
    <mergeCell ref="C31:D32"/>
    <mergeCell ref="C29:D30"/>
    <mergeCell ref="C24:D24"/>
    <mergeCell ref="C17:D18"/>
    <mergeCell ref="C21:D22"/>
    <mergeCell ref="U17:W17"/>
    <mergeCell ref="R17:T17"/>
    <mergeCell ref="C51:D52"/>
    <mergeCell ref="A47:B50"/>
    <mergeCell ref="F59:H59"/>
    <mergeCell ref="F51:H51"/>
    <mergeCell ref="F52:H52"/>
    <mergeCell ref="F56:H56"/>
    <mergeCell ref="F57:H57"/>
    <mergeCell ref="F58:H58"/>
    <mergeCell ref="C41:D41"/>
    <mergeCell ref="C42:D42"/>
    <mergeCell ref="C47:D50"/>
    <mergeCell ref="F44:H44"/>
    <mergeCell ref="AC117:AD117"/>
    <mergeCell ref="F118:G118"/>
    <mergeCell ref="I118:J118"/>
    <mergeCell ref="AB94:AD94"/>
    <mergeCell ref="Z94:AA94"/>
    <mergeCell ref="F114:G114"/>
    <mergeCell ref="I114:J114"/>
    <mergeCell ref="P114:Q114"/>
    <mergeCell ref="F113:G113"/>
    <mergeCell ref="I113:J113"/>
    <mergeCell ref="P113:Q113"/>
    <mergeCell ref="H107:Z107"/>
    <mergeCell ref="C102:F102"/>
    <mergeCell ref="G102:L102"/>
    <mergeCell ref="M102:Q102"/>
    <mergeCell ref="R102:V102"/>
    <mergeCell ref="X96:Z96"/>
    <mergeCell ref="C98:D98"/>
    <mergeCell ref="E98:Z98"/>
    <mergeCell ref="C100:D100"/>
    <mergeCell ref="E100:J100"/>
    <mergeCell ref="P100:R100"/>
    <mergeCell ref="S100:W100"/>
    <mergeCell ref="C104:F104"/>
    <mergeCell ref="C63:D64"/>
    <mergeCell ref="L60:N60"/>
    <mergeCell ref="F62:H62"/>
    <mergeCell ref="F60:H60"/>
    <mergeCell ref="F61:H61"/>
    <mergeCell ref="F70:H70"/>
    <mergeCell ref="C79:D80"/>
    <mergeCell ref="I80:K80"/>
    <mergeCell ref="L80:N80"/>
    <mergeCell ref="F71:H71"/>
    <mergeCell ref="L64:N64"/>
    <mergeCell ref="F69:H69"/>
    <mergeCell ref="I69:N69"/>
    <mergeCell ref="A59:D62"/>
    <mergeCell ref="F67:H67"/>
    <mergeCell ref="I64:K64"/>
    <mergeCell ref="I71:K71"/>
    <mergeCell ref="I72:K72"/>
    <mergeCell ref="I73:K73"/>
    <mergeCell ref="A67:E67"/>
    <mergeCell ref="C76:D78"/>
    <mergeCell ref="F73:H73"/>
    <mergeCell ref="F74:H74"/>
    <mergeCell ref="F64:H64"/>
    <mergeCell ref="AC129:AD129"/>
    <mergeCell ref="AC118:AD118"/>
    <mergeCell ref="P122:Q122"/>
    <mergeCell ref="Z122:AA122"/>
    <mergeCell ref="AC130:AD130"/>
    <mergeCell ref="K143:P143"/>
    <mergeCell ref="Q143:V143"/>
    <mergeCell ref="S148:T148"/>
    <mergeCell ref="Z148:AA148"/>
    <mergeCell ref="X143:AA143"/>
    <mergeCell ref="X144:AD144"/>
    <mergeCell ref="S147:T147"/>
    <mergeCell ref="Z147:AA147"/>
    <mergeCell ref="AB143:AD143"/>
    <mergeCell ref="AC139:AD139"/>
    <mergeCell ref="AC138:AD138"/>
    <mergeCell ref="S150:T150"/>
    <mergeCell ref="Z152:AA152"/>
    <mergeCell ref="Z150:AA150"/>
    <mergeCell ref="P118:Q118"/>
    <mergeCell ref="Z127:AA127"/>
    <mergeCell ref="P128:Q128"/>
    <mergeCell ref="S128:T128"/>
    <mergeCell ref="Z128:AA128"/>
    <mergeCell ref="I129:J129"/>
    <mergeCell ref="P129:Q129"/>
    <mergeCell ref="Z129:AA129"/>
    <mergeCell ref="S149:T149"/>
    <mergeCell ref="Z149:AA149"/>
    <mergeCell ref="Z151:AA151"/>
    <mergeCell ref="S151:T151"/>
    <mergeCell ref="P130:Q130"/>
    <mergeCell ref="Z130:AA130"/>
    <mergeCell ref="S152:T152"/>
    <mergeCell ref="S122:T122"/>
    <mergeCell ref="Z126:AA126"/>
    <mergeCell ref="I122:J122"/>
    <mergeCell ref="F138:G138"/>
    <mergeCell ref="F139:G139"/>
    <mergeCell ref="F140:G140"/>
    <mergeCell ref="F130:G130"/>
    <mergeCell ref="F123:G123"/>
    <mergeCell ref="P123:Q123"/>
    <mergeCell ref="Z123:AA123"/>
    <mergeCell ref="F124:G124"/>
    <mergeCell ref="P124:Q124"/>
    <mergeCell ref="Z124:AA124"/>
    <mergeCell ref="F125:G125"/>
    <mergeCell ref="P125:Q125"/>
    <mergeCell ref="S125:T125"/>
    <mergeCell ref="Z125:AA125"/>
    <mergeCell ref="F135:G135"/>
    <mergeCell ref="F137:G137"/>
    <mergeCell ref="P138:Q138"/>
    <mergeCell ref="P137:Q137"/>
    <mergeCell ref="P136:Q136"/>
    <mergeCell ref="P135:Q135"/>
    <mergeCell ref="I138:K138"/>
    <mergeCell ref="I137:K137"/>
    <mergeCell ref="I136:K136"/>
    <mergeCell ref="I135:K135"/>
    <mergeCell ref="O59:Q59"/>
    <mergeCell ref="U59:W59"/>
    <mergeCell ref="O58:Q58"/>
    <mergeCell ref="I49:K49"/>
    <mergeCell ref="U56:W56"/>
    <mergeCell ref="L51:N51"/>
    <mergeCell ref="P117:Q117"/>
    <mergeCell ref="P127:Q127"/>
    <mergeCell ref="F115:G115"/>
    <mergeCell ref="I115:J115"/>
    <mergeCell ref="P115:Q115"/>
    <mergeCell ref="F116:G116"/>
    <mergeCell ref="I116:J116"/>
    <mergeCell ref="P116:Q116"/>
    <mergeCell ref="F126:G126"/>
    <mergeCell ref="I126:J126"/>
    <mergeCell ref="P126:Q126"/>
    <mergeCell ref="F127:G127"/>
    <mergeCell ref="R50:T50"/>
    <mergeCell ref="O73:Q73"/>
    <mergeCell ref="R73:T73"/>
    <mergeCell ref="L63:N63"/>
    <mergeCell ref="O63:Q63"/>
    <mergeCell ref="R72:T72"/>
    <mergeCell ref="O64:Q64"/>
    <mergeCell ref="O74:Q74"/>
    <mergeCell ref="U64:W64"/>
    <mergeCell ref="U69:W69"/>
    <mergeCell ref="U52:W52"/>
    <mergeCell ref="C72:D75"/>
    <mergeCell ref="P91:Q92"/>
    <mergeCell ref="I86:K86"/>
    <mergeCell ref="L86:N86"/>
    <mergeCell ref="I87:K87"/>
    <mergeCell ref="L87:N87"/>
    <mergeCell ref="L81:N81"/>
    <mergeCell ref="I82:K82"/>
    <mergeCell ref="L82:N82"/>
    <mergeCell ref="I83:K83"/>
    <mergeCell ref="L83:N83"/>
    <mergeCell ref="L85:N85"/>
    <mergeCell ref="O82:Q82"/>
    <mergeCell ref="N92:O92"/>
    <mergeCell ref="N91:O91"/>
    <mergeCell ref="K91:L92"/>
    <mergeCell ref="I88:K88"/>
    <mergeCell ref="I59:K59"/>
    <mergeCell ref="L59:N59"/>
    <mergeCell ref="F76:H76"/>
    <mergeCell ref="F82:H82"/>
    <mergeCell ref="F81:H81"/>
    <mergeCell ref="F80:H80"/>
    <mergeCell ref="A4:B4"/>
    <mergeCell ref="F8:H8"/>
    <mergeCell ref="C4:D4"/>
    <mergeCell ref="E4:M4"/>
    <mergeCell ref="F7:H7"/>
    <mergeCell ref="I7:K7"/>
    <mergeCell ref="L7:N7"/>
    <mergeCell ref="L16:N16"/>
    <mergeCell ref="F18:K18"/>
    <mergeCell ref="C11:D11"/>
    <mergeCell ref="L10:N10"/>
    <mergeCell ref="F13:K13"/>
    <mergeCell ref="L17:N17"/>
    <mergeCell ref="F17:H17"/>
    <mergeCell ref="I17:K17"/>
    <mergeCell ref="L9:N9"/>
    <mergeCell ref="L11:N11"/>
    <mergeCell ref="I74:K74"/>
    <mergeCell ref="L74:N74"/>
    <mergeCell ref="I48:K48"/>
    <mergeCell ref="Z35:AA35"/>
    <mergeCell ref="Z36:AA37"/>
    <mergeCell ref="A35:B40"/>
    <mergeCell ref="C105:F105"/>
    <mergeCell ref="G105:Z105"/>
    <mergeCell ref="F142:G142"/>
    <mergeCell ref="C25:D25"/>
    <mergeCell ref="C13:D13"/>
    <mergeCell ref="C12:D12"/>
    <mergeCell ref="E15:E16"/>
    <mergeCell ref="F19:K19"/>
    <mergeCell ref="F24:K24"/>
    <mergeCell ref="L23:N23"/>
    <mergeCell ref="L75:N75"/>
    <mergeCell ref="I78:K78"/>
    <mergeCell ref="L79:N79"/>
    <mergeCell ref="I76:K76"/>
    <mergeCell ref="L72:N72"/>
    <mergeCell ref="B94:Y94"/>
    <mergeCell ref="C96:D96"/>
    <mergeCell ref="E96:O96"/>
    <mergeCell ref="P96:S96"/>
    <mergeCell ref="T96:V96"/>
    <mergeCell ref="A72:B89"/>
  </mergeCells>
  <phoneticPr fontId="3"/>
  <printOptions horizontalCentered="1"/>
  <pageMargins left="0.28000000000000003" right="0.13" top="0.43" bottom="0.11811023622047245" header="0.42" footer="0.15748031496062992"/>
  <pageSetup paperSize="9" scale="57" fitToHeight="0" orientation="landscape" r:id="rId1"/>
  <headerFooter alignWithMargins="0"/>
  <rowBreaks count="2" manualBreakCount="2">
    <brk id="53" max="29" man="1"/>
    <brk id="92" max="29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ABE18-B7DE-4740-839A-4F58CEE91817}">
  <dimension ref="A1:J6"/>
  <sheetViews>
    <sheetView workbookViewId="0">
      <selection activeCell="D3" sqref="D3:J54"/>
    </sheetView>
  </sheetViews>
  <sheetFormatPr defaultRowHeight="13.5" x14ac:dyDescent="0.15"/>
  <cols>
    <col min="1" max="1" width="13.875" bestFit="1" customWidth="1"/>
    <col min="7" max="7" width="9.625" bestFit="1" customWidth="1"/>
    <col min="8" max="8" width="14.75" bestFit="1" customWidth="1"/>
    <col min="9" max="9" width="25.125" bestFit="1" customWidth="1"/>
    <col min="10" max="10" width="23" bestFit="1" customWidth="1"/>
  </cols>
  <sheetData>
    <row r="1" spans="1:10" x14ac:dyDescent="0.15">
      <c r="A1" t="s">
        <v>1072</v>
      </c>
    </row>
    <row r="2" spans="1:10" x14ac:dyDescent="0.15">
      <c r="A2" t="s">
        <v>1074</v>
      </c>
    </row>
    <row r="3" spans="1:10" x14ac:dyDescent="0.15">
      <c r="A3" t="s">
        <v>1075</v>
      </c>
      <c r="B3" t="s">
        <v>1076</v>
      </c>
      <c r="C3" t="s">
        <v>1077</v>
      </c>
      <c r="D3" t="s">
        <v>1078</v>
      </c>
      <c r="E3" t="s">
        <v>1079</v>
      </c>
      <c r="F3" t="s">
        <v>1080</v>
      </c>
      <c r="G3" t="s">
        <v>1081</v>
      </c>
    </row>
    <row r="4" spans="1:10" x14ac:dyDescent="0.15">
      <c r="A4" t="s">
        <v>1082</v>
      </c>
    </row>
    <row r="5" spans="1:10" x14ac:dyDescent="0.15">
      <c r="A5" t="s">
        <v>1073</v>
      </c>
      <c r="B5" t="s">
        <v>1076</v>
      </c>
      <c r="C5" t="s">
        <v>1077</v>
      </c>
      <c r="D5" t="s">
        <v>1078</v>
      </c>
      <c r="E5" t="s">
        <v>1079</v>
      </c>
      <c r="F5" t="s">
        <v>1080</v>
      </c>
      <c r="G5" t="s">
        <v>1081</v>
      </c>
    </row>
    <row r="6" spans="1:10" x14ac:dyDescent="0.15">
      <c r="A6" t="s">
        <v>1083</v>
      </c>
      <c r="B6" t="s">
        <v>1076</v>
      </c>
      <c r="C6" t="s">
        <v>1077</v>
      </c>
      <c r="D6" t="s">
        <v>1078</v>
      </c>
      <c r="E6" t="s">
        <v>1084</v>
      </c>
      <c r="F6" t="s">
        <v>1085</v>
      </c>
      <c r="G6" t="s">
        <v>1086</v>
      </c>
      <c r="H6" t="s">
        <v>1087</v>
      </c>
      <c r="I6" t="s">
        <v>1089</v>
      </c>
      <c r="J6" t="s">
        <v>1088</v>
      </c>
    </row>
  </sheetData>
  <phoneticPr fontId="6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2:V154"/>
  <sheetViews>
    <sheetView workbookViewId="0">
      <selection activeCell="D3" sqref="D3:J54"/>
    </sheetView>
  </sheetViews>
  <sheetFormatPr defaultColWidth="10.5" defaultRowHeight="13.5" x14ac:dyDescent="0.15"/>
  <cols>
    <col min="1" max="1" width="2.25" customWidth="1"/>
    <col min="2" max="2" width="11.375" customWidth="1"/>
    <col min="3" max="3" width="9" customWidth="1"/>
    <col min="4" max="4" width="11.625" bestFit="1" customWidth="1"/>
    <col min="5" max="5" width="12.375" bestFit="1" customWidth="1"/>
    <col min="6" max="6" width="13.625" bestFit="1" customWidth="1"/>
    <col min="7" max="7" width="10.625" customWidth="1"/>
    <col min="8" max="8" width="11.375" bestFit="1" customWidth="1"/>
    <col min="9" max="9" width="10.625" bestFit="1" customWidth="1"/>
    <col min="10" max="10" width="11.375" customWidth="1"/>
    <col min="11" max="11" width="10.375" customWidth="1"/>
    <col min="12" max="12" width="11.75" bestFit="1" customWidth="1"/>
    <col min="13" max="13" width="10.625" customWidth="1"/>
    <col min="14" max="14" width="11" customWidth="1"/>
    <col min="15" max="15" width="8.625" customWidth="1"/>
    <col min="16" max="16" width="10.875" bestFit="1" customWidth="1"/>
    <col min="17" max="17" width="8.625" customWidth="1"/>
    <col min="18" max="18" width="10.875" bestFit="1" customWidth="1"/>
    <col min="19" max="20" width="8.625" customWidth="1"/>
    <col min="21" max="22" width="7.375" bestFit="1" customWidth="1"/>
    <col min="23" max="239" width="9" customWidth="1"/>
    <col min="240" max="240" width="2.25" customWidth="1"/>
    <col min="241" max="242" width="9" customWidth="1"/>
    <col min="243" max="243" width="2.25" customWidth="1"/>
    <col min="244" max="244" width="6" bestFit="1" customWidth="1"/>
    <col min="245" max="246" width="9.5" bestFit="1" customWidth="1"/>
    <col min="247" max="247" width="9" bestFit="1" customWidth="1"/>
    <col min="248" max="248" width="10.5" bestFit="1" customWidth="1"/>
    <col min="249" max="249" width="12.5" bestFit="1" customWidth="1"/>
    <col min="250" max="250" width="12.125" bestFit="1" customWidth="1"/>
    <col min="251" max="251" width="14" bestFit="1" customWidth="1"/>
    <col min="252" max="252" width="12.125" bestFit="1" customWidth="1"/>
    <col min="253" max="253" width="14" bestFit="1" customWidth="1"/>
    <col min="254" max="254" width="10.5" bestFit="1" customWidth="1"/>
    <col min="255" max="255" width="12.125" bestFit="1" customWidth="1"/>
  </cols>
  <sheetData>
    <row r="2" spans="2:22" ht="30" customHeight="1" thickBot="1" x14ac:dyDescent="0.2">
      <c r="B2" s="166" t="s">
        <v>35</v>
      </c>
      <c r="D2" s="265" t="s">
        <v>519</v>
      </c>
      <c r="E2" t="s">
        <v>544</v>
      </c>
      <c r="F2" s="264"/>
      <c r="G2" s="264"/>
      <c r="H2" s="264"/>
      <c r="I2" s="264"/>
      <c r="J2" s="264"/>
      <c r="K2" s="264"/>
      <c r="L2" t="s">
        <v>170</v>
      </c>
      <c r="V2" s="1"/>
    </row>
    <row r="3" spans="2:22" ht="14.25" thickTop="1" x14ac:dyDescent="0.15">
      <c r="B3" s="55" t="s">
        <v>163</v>
      </c>
      <c r="D3" s="375" t="s">
        <v>510</v>
      </c>
      <c r="E3" s="376">
        <v>2700</v>
      </c>
      <c r="L3" t="s">
        <v>171</v>
      </c>
    </row>
    <row r="4" spans="2:22" ht="14.25" thickBot="1" x14ac:dyDescent="0.2">
      <c r="B4" s="55" t="s">
        <v>164</v>
      </c>
      <c r="D4" s="377" t="s">
        <v>513</v>
      </c>
      <c r="E4" s="378">
        <v>2000</v>
      </c>
      <c r="L4" t="s">
        <v>172</v>
      </c>
    </row>
    <row r="5" spans="2:22" ht="14.25" thickTop="1" x14ac:dyDescent="0.15">
      <c r="B5" s="55" t="s">
        <v>165</v>
      </c>
      <c r="L5" t="s">
        <v>173</v>
      </c>
    </row>
    <row r="6" spans="2:22" ht="14.25" thickBot="1" x14ac:dyDescent="0.2">
      <c r="B6" s="55" t="s">
        <v>166</v>
      </c>
      <c r="L6" t="s">
        <v>174</v>
      </c>
    </row>
    <row r="7" spans="2:22" ht="14.25" thickBot="1" x14ac:dyDescent="0.2">
      <c r="B7" s="55" t="s">
        <v>167</v>
      </c>
      <c r="D7" s="387"/>
      <c r="E7" s="388" t="s">
        <v>514</v>
      </c>
      <c r="F7" s="389" t="s">
        <v>515</v>
      </c>
      <c r="G7" s="389" t="s">
        <v>516</v>
      </c>
      <c r="H7" s="389" t="s">
        <v>517</v>
      </c>
      <c r="I7" s="389" t="s">
        <v>518</v>
      </c>
      <c r="J7" s="390" t="s">
        <v>1151</v>
      </c>
      <c r="L7" s="57" t="s">
        <v>313</v>
      </c>
    </row>
    <row r="8" spans="2:22" ht="14.25" thickTop="1" x14ac:dyDescent="0.15">
      <c r="B8" s="55" t="s">
        <v>168</v>
      </c>
      <c r="D8" s="383" t="s">
        <v>506</v>
      </c>
      <c r="E8" s="384">
        <v>2700</v>
      </c>
      <c r="F8" s="385"/>
      <c r="G8" s="385"/>
      <c r="H8" s="385"/>
      <c r="I8" s="385"/>
      <c r="J8" s="386"/>
      <c r="M8" t="s">
        <v>175</v>
      </c>
    </row>
    <row r="9" spans="2:22" x14ac:dyDescent="0.15">
      <c r="B9" s="55" t="s">
        <v>169</v>
      </c>
      <c r="D9" s="379" t="s">
        <v>507</v>
      </c>
      <c r="E9" s="1237">
        <v>2700</v>
      </c>
      <c r="F9" s="1238"/>
      <c r="G9" s="1238"/>
      <c r="H9" s="1238"/>
      <c r="I9" s="1239"/>
      <c r="J9" s="380">
        <v>2250</v>
      </c>
      <c r="L9" t="s">
        <v>176</v>
      </c>
    </row>
    <row r="10" spans="2:22" x14ac:dyDescent="0.15">
      <c r="B10" s="55"/>
      <c r="D10" s="379" t="s">
        <v>508</v>
      </c>
      <c r="E10" s="1237">
        <v>4000</v>
      </c>
      <c r="F10" s="1238"/>
      <c r="G10" s="1238"/>
      <c r="H10" s="1238"/>
      <c r="I10" s="1239"/>
      <c r="J10" s="380">
        <v>2750</v>
      </c>
    </row>
    <row r="11" spans="2:22" x14ac:dyDescent="0.15">
      <c r="D11" s="379" t="s">
        <v>509</v>
      </c>
      <c r="E11" s="1237">
        <v>4000</v>
      </c>
      <c r="F11" s="1238"/>
      <c r="G11" s="1238"/>
      <c r="H11" s="1238"/>
      <c r="I11" s="1239"/>
      <c r="J11" s="380">
        <v>2750</v>
      </c>
      <c r="L11" t="s">
        <v>177</v>
      </c>
    </row>
    <row r="12" spans="2:22" x14ac:dyDescent="0.15">
      <c r="D12" s="379" t="s">
        <v>512</v>
      </c>
      <c r="E12" s="1237">
        <v>4000</v>
      </c>
      <c r="F12" s="1238"/>
      <c r="G12" s="1238"/>
      <c r="H12" s="1238"/>
      <c r="I12" s="1239"/>
      <c r="J12" s="380">
        <v>2750</v>
      </c>
      <c r="L12" t="s">
        <v>178</v>
      </c>
    </row>
    <row r="13" spans="2:22" ht="14.25" thickBot="1" x14ac:dyDescent="0.2">
      <c r="D13" s="381" t="s">
        <v>511</v>
      </c>
      <c r="E13" s="1240">
        <v>4500</v>
      </c>
      <c r="F13" s="1241"/>
      <c r="G13" s="1241"/>
      <c r="H13" s="1241"/>
      <c r="I13" s="1242"/>
      <c r="J13" s="382">
        <v>3000</v>
      </c>
      <c r="L13" t="s">
        <v>179</v>
      </c>
    </row>
    <row r="14" spans="2:22" x14ac:dyDescent="0.15">
      <c r="L14" t="s">
        <v>180</v>
      </c>
      <c r="M14" t="s">
        <v>181</v>
      </c>
    </row>
    <row r="15" spans="2:22" ht="14.25" thickBot="1" x14ac:dyDescent="0.2">
      <c r="D15" s="287" t="s">
        <v>557</v>
      </c>
      <c r="M15" t="s">
        <v>182</v>
      </c>
    </row>
    <row r="16" spans="2:22" ht="15" thickTop="1" thickBot="1" x14ac:dyDescent="0.2">
      <c r="D16" s="288">
        <v>46113</v>
      </c>
      <c r="E16" t="s">
        <v>556</v>
      </c>
      <c r="M16" t="s">
        <v>183</v>
      </c>
    </row>
    <row r="17" spans="2:19" ht="13.5" customHeight="1" thickTop="1" thickBot="1" x14ac:dyDescent="0.2">
      <c r="C17" s="485" t="s">
        <v>731</v>
      </c>
      <c r="D17" s="288">
        <v>46387</v>
      </c>
      <c r="M17" t="s">
        <v>184</v>
      </c>
      <c r="S17" t="s">
        <v>187</v>
      </c>
    </row>
    <row r="18" spans="2:19" ht="15" thickTop="1" thickBot="1" x14ac:dyDescent="0.2">
      <c r="D18" s="287" t="s">
        <v>721</v>
      </c>
      <c r="M18" t="s">
        <v>185</v>
      </c>
    </row>
    <row r="19" spans="2:19" ht="14.25" thickBot="1" x14ac:dyDescent="0.2">
      <c r="D19" s="391">
        <v>45657</v>
      </c>
      <c r="M19" t="s">
        <v>186</v>
      </c>
    </row>
    <row r="20" spans="2:19" ht="14.25" thickBot="1" x14ac:dyDescent="0.2"/>
    <row r="21" spans="2:19" ht="18" x14ac:dyDescent="0.15">
      <c r="D21" t="s">
        <v>591</v>
      </c>
      <c r="E21" s="737" t="s">
        <v>1097</v>
      </c>
      <c r="F21" s="738" t="s">
        <v>522</v>
      </c>
      <c r="G21" s="739" t="s">
        <v>523</v>
      </c>
      <c r="H21" s="573" t="s">
        <v>1185</v>
      </c>
      <c r="I21" s="686" t="s">
        <v>1152</v>
      </c>
      <c r="J21" s="743" t="s">
        <v>1153</v>
      </c>
      <c r="K21" s="744" t="s">
        <v>1129</v>
      </c>
      <c r="L21" s="573" t="s">
        <v>1150</v>
      </c>
      <c r="M21" s="746" t="s">
        <v>732</v>
      </c>
    </row>
    <row r="22" spans="2:19" ht="14.25" thickBot="1" x14ac:dyDescent="0.2">
      <c r="E22" s="740">
        <v>5000</v>
      </c>
      <c r="F22" s="741">
        <v>5000</v>
      </c>
      <c r="G22" s="742">
        <v>5000</v>
      </c>
      <c r="H22" s="574">
        <v>7000</v>
      </c>
      <c r="I22" s="687">
        <v>6000</v>
      </c>
      <c r="J22" s="745">
        <v>3500</v>
      </c>
      <c r="K22" s="745">
        <v>12000</v>
      </c>
      <c r="L22" s="574">
        <v>20000</v>
      </c>
      <c r="M22" s="747">
        <v>15000</v>
      </c>
    </row>
    <row r="25" spans="2:19" ht="25.5" customHeight="1" x14ac:dyDescent="0.15">
      <c r="B25" t="s">
        <v>296</v>
      </c>
    </row>
    <row r="26" spans="2:19" ht="14.25" thickBot="1" x14ac:dyDescent="0.2">
      <c r="B26" s="1"/>
      <c r="C26" s="1">
        <v>1</v>
      </c>
      <c r="D26" s="1">
        <v>2</v>
      </c>
      <c r="E26" s="1">
        <v>3</v>
      </c>
      <c r="F26" s="1">
        <v>4</v>
      </c>
      <c r="G26" s="1">
        <v>5</v>
      </c>
      <c r="H26" s="1">
        <v>6</v>
      </c>
      <c r="I26" s="1">
        <v>7</v>
      </c>
    </row>
    <row r="27" spans="2:19" ht="14.25" thickBot="1" x14ac:dyDescent="0.2">
      <c r="B27" s="60" t="s">
        <v>28</v>
      </c>
      <c r="C27" s="58" t="s">
        <v>378</v>
      </c>
      <c r="D27" s="59" t="s">
        <v>188</v>
      </c>
      <c r="E27" s="59" t="s">
        <v>189</v>
      </c>
      <c r="F27" s="59" t="s">
        <v>215</v>
      </c>
      <c r="G27" s="59" t="s">
        <v>216</v>
      </c>
      <c r="H27" s="246" t="s">
        <v>484</v>
      </c>
      <c r="I27" s="246" t="s">
        <v>485</v>
      </c>
    </row>
    <row r="28" spans="2:19" ht="14.25" customHeight="1" thickTop="1" x14ac:dyDescent="0.15">
      <c r="B28" s="56">
        <v>6</v>
      </c>
      <c r="C28" s="272">
        <v>6</v>
      </c>
      <c r="D28" s="15" t="s">
        <v>209</v>
      </c>
      <c r="E28" s="15" t="s">
        <v>191</v>
      </c>
      <c r="F28" s="15" t="s">
        <v>194</v>
      </c>
      <c r="G28" s="15" t="s">
        <v>195</v>
      </c>
      <c r="H28" s="15" t="s">
        <v>217</v>
      </c>
      <c r="I28" s="62" t="s">
        <v>475</v>
      </c>
    </row>
    <row r="29" spans="2:19" ht="13.5" customHeight="1" x14ac:dyDescent="0.15">
      <c r="B29" s="56">
        <v>7</v>
      </c>
      <c r="C29" s="272">
        <v>9</v>
      </c>
      <c r="D29" s="15" t="s">
        <v>210</v>
      </c>
      <c r="E29" s="15" t="s">
        <v>196</v>
      </c>
      <c r="F29" s="15" t="s">
        <v>197</v>
      </c>
      <c r="G29" s="15" t="s">
        <v>198</v>
      </c>
      <c r="H29" s="15" t="s">
        <v>218</v>
      </c>
      <c r="I29" s="62" t="s">
        <v>476</v>
      </c>
    </row>
    <row r="30" spans="2:19" ht="13.5" customHeight="1" x14ac:dyDescent="0.15">
      <c r="B30" s="56">
        <v>8</v>
      </c>
      <c r="C30" s="272">
        <v>9</v>
      </c>
      <c r="D30" s="15"/>
      <c r="E30" s="15"/>
      <c r="F30" s="15"/>
      <c r="G30" s="15"/>
      <c r="H30" s="15"/>
      <c r="I30" s="62"/>
    </row>
    <row r="31" spans="2:19" ht="13.5" customHeight="1" x14ac:dyDescent="0.15">
      <c r="B31" s="56">
        <v>9</v>
      </c>
      <c r="C31" s="272">
        <v>9</v>
      </c>
      <c r="D31" s="15"/>
      <c r="E31" s="15"/>
      <c r="F31" s="15"/>
      <c r="G31" s="15"/>
      <c r="H31" s="15"/>
      <c r="I31" s="62"/>
      <c r="K31" s="616"/>
    </row>
    <row r="32" spans="2:19" ht="13.5" customHeight="1" x14ac:dyDescent="0.15">
      <c r="B32" s="56">
        <v>10</v>
      </c>
      <c r="C32" s="272">
        <v>12</v>
      </c>
      <c r="D32" s="15" t="s">
        <v>211</v>
      </c>
      <c r="E32" s="15" t="s">
        <v>192</v>
      </c>
      <c r="F32" s="15" t="s">
        <v>199</v>
      </c>
      <c r="G32" s="15" t="s">
        <v>200</v>
      </c>
      <c r="H32" s="15" t="s">
        <v>219</v>
      </c>
      <c r="I32" s="62" t="s">
        <v>477</v>
      </c>
    </row>
    <row r="33" spans="2:21" ht="13.5" customHeight="1" x14ac:dyDescent="0.15">
      <c r="B33" s="56">
        <v>11</v>
      </c>
      <c r="C33" s="272">
        <v>12</v>
      </c>
      <c r="D33" s="15"/>
      <c r="E33" s="15"/>
      <c r="F33" s="15"/>
      <c r="G33" s="15"/>
      <c r="H33" s="15"/>
      <c r="I33" s="62"/>
    </row>
    <row r="34" spans="2:21" ht="13.5" customHeight="1" x14ac:dyDescent="0.15">
      <c r="B34" s="56">
        <v>12</v>
      </c>
      <c r="C34" s="272">
        <v>12</v>
      </c>
      <c r="D34" s="15"/>
      <c r="E34" s="15"/>
      <c r="F34" s="15"/>
      <c r="G34" s="15"/>
      <c r="H34" s="15"/>
      <c r="I34" s="62"/>
    </row>
    <row r="35" spans="2:21" ht="13.5" customHeight="1" x14ac:dyDescent="0.15">
      <c r="B35" s="56">
        <v>13</v>
      </c>
      <c r="C35" s="272">
        <v>15</v>
      </c>
      <c r="D35" s="15" t="s">
        <v>212</v>
      </c>
      <c r="E35" s="15" t="s">
        <v>193</v>
      </c>
      <c r="F35" s="15" t="s">
        <v>201</v>
      </c>
      <c r="G35" s="15" t="s">
        <v>202</v>
      </c>
      <c r="H35" s="15" t="s">
        <v>220</v>
      </c>
      <c r="I35" s="62" t="s">
        <v>478</v>
      </c>
    </row>
    <row r="36" spans="2:21" ht="13.5" customHeight="1" x14ac:dyDescent="0.15">
      <c r="B36" s="56">
        <v>14</v>
      </c>
      <c r="C36" s="272">
        <v>15</v>
      </c>
      <c r="D36" s="15"/>
      <c r="E36" s="15"/>
      <c r="F36" s="15"/>
      <c r="G36" s="15"/>
      <c r="H36" s="15"/>
      <c r="I36" s="62"/>
    </row>
    <row r="37" spans="2:21" ht="13.5" customHeight="1" x14ac:dyDescent="0.15">
      <c r="B37" s="56">
        <v>15</v>
      </c>
      <c r="C37" s="272">
        <v>15</v>
      </c>
      <c r="D37" s="15"/>
      <c r="E37" s="15"/>
      <c r="F37" s="15"/>
      <c r="G37" s="15"/>
      <c r="H37" s="15"/>
      <c r="I37" s="62"/>
    </row>
    <row r="38" spans="2:21" ht="13.5" customHeight="1" x14ac:dyDescent="0.15">
      <c r="B38" s="56">
        <v>16</v>
      </c>
      <c r="C38" s="272">
        <v>18</v>
      </c>
      <c r="D38" s="15" t="s">
        <v>213</v>
      </c>
      <c r="E38" s="15" t="s">
        <v>203</v>
      </c>
      <c r="F38" s="15" t="s">
        <v>204</v>
      </c>
      <c r="G38" s="15" t="s">
        <v>205</v>
      </c>
      <c r="H38" s="15" t="s">
        <v>221</v>
      </c>
      <c r="I38" s="62" t="s">
        <v>479</v>
      </c>
    </row>
    <row r="39" spans="2:21" ht="13.5" customHeight="1" x14ac:dyDescent="0.15">
      <c r="B39" s="56">
        <v>17</v>
      </c>
      <c r="C39" s="272">
        <v>18</v>
      </c>
      <c r="D39" s="15"/>
      <c r="E39" s="15"/>
      <c r="F39" s="15"/>
      <c r="G39" s="15"/>
      <c r="H39" s="15"/>
      <c r="I39" s="62"/>
    </row>
    <row r="40" spans="2:21" ht="13.5" customHeight="1" x14ac:dyDescent="0.15">
      <c r="B40" s="56">
        <v>18</v>
      </c>
      <c r="C40" s="272">
        <v>18</v>
      </c>
      <c r="D40" s="15"/>
      <c r="E40" s="15"/>
      <c r="F40" s="15"/>
      <c r="G40" s="15"/>
      <c r="H40" s="15"/>
      <c r="I40" s="62"/>
    </row>
    <row r="41" spans="2:21" ht="13.5" customHeight="1" x14ac:dyDescent="0.15">
      <c r="B41" s="56">
        <v>19</v>
      </c>
      <c r="C41" s="272">
        <v>19</v>
      </c>
      <c r="D41" s="15" t="s">
        <v>214</v>
      </c>
      <c r="E41" s="15" t="s">
        <v>206</v>
      </c>
      <c r="F41" s="15" t="s">
        <v>207</v>
      </c>
      <c r="G41" s="15" t="s">
        <v>208</v>
      </c>
      <c r="H41" s="15" t="s">
        <v>222</v>
      </c>
      <c r="I41" s="62" t="s">
        <v>480</v>
      </c>
    </row>
    <row r="42" spans="2:21" ht="13.5" customHeight="1" x14ac:dyDescent="0.15"/>
    <row r="43" spans="2:21" ht="27.75" customHeight="1" x14ac:dyDescent="0.15">
      <c r="B43" t="s">
        <v>297</v>
      </c>
      <c r="D43" s="192"/>
      <c r="E43" s="192"/>
      <c r="F43" s="192"/>
      <c r="G43" s="192"/>
      <c r="H43" s="192"/>
      <c r="I43" s="192"/>
      <c r="J43" s="192"/>
      <c r="K43" s="192"/>
      <c r="L43" s="192"/>
      <c r="M43" s="192"/>
      <c r="N43" s="192"/>
      <c r="O43" s="192"/>
      <c r="P43" s="192"/>
      <c r="Q43" s="192"/>
      <c r="R43" s="192"/>
      <c r="S43" s="192"/>
      <c r="T43" s="192"/>
      <c r="U43" s="192"/>
    </row>
    <row r="44" spans="2:21" x14ac:dyDescent="0.15">
      <c r="C44" s="273">
        <v>1</v>
      </c>
      <c r="D44" s="192">
        <v>2</v>
      </c>
      <c r="E44" s="273">
        <v>3</v>
      </c>
      <c r="F44" s="192">
        <v>4</v>
      </c>
      <c r="G44" s="273">
        <v>5</v>
      </c>
      <c r="H44" s="192">
        <v>6</v>
      </c>
      <c r="I44" s="273">
        <v>7</v>
      </c>
      <c r="J44" s="192">
        <v>8</v>
      </c>
      <c r="K44" s="273">
        <v>9</v>
      </c>
      <c r="L44" s="192">
        <v>10</v>
      </c>
      <c r="M44" s="273">
        <v>11</v>
      </c>
      <c r="N44" s="192">
        <v>12</v>
      </c>
      <c r="O44" s="273">
        <v>13</v>
      </c>
      <c r="P44" s="192">
        <v>14</v>
      </c>
      <c r="Q44" s="273">
        <v>15</v>
      </c>
      <c r="R44" s="192">
        <v>16</v>
      </c>
      <c r="S44" s="273">
        <v>17</v>
      </c>
      <c r="T44" s="192">
        <v>18</v>
      </c>
      <c r="U44" s="273">
        <v>19</v>
      </c>
    </row>
    <row r="45" spans="2:21" ht="14.25" thickBot="1" x14ac:dyDescent="0.2">
      <c r="B45" s="1"/>
      <c r="C45" s="1"/>
      <c r="D45" s="1243" t="s">
        <v>16</v>
      </c>
      <c r="E45" s="1243"/>
      <c r="F45" s="1243"/>
      <c r="G45" s="1243"/>
      <c r="H45" s="1243" t="s">
        <v>19</v>
      </c>
      <c r="I45" s="1243"/>
      <c r="J45" s="1243"/>
      <c r="K45" s="1243" t="s">
        <v>30</v>
      </c>
      <c r="L45" s="1243"/>
      <c r="M45" s="1243" t="s">
        <v>20</v>
      </c>
      <c r="N45" s="1243"/>
      <c r="O45" s="1243"/>
      <c r="P45" s="1243" t="s">
        <v>31</v>
      </c>
      <c r="Q45" s="1243"/>
      <c r="R45" s="1243"/>
      <c r="S45" s="1243" t="s">
        <v>32</v>
      </c>
      <c r="T45" s="1243"/>
      <c r="U45" s="1243"/>
    </row>
    <row r="46" spans="2:21" ht="14.25" thickBot="1" x14ac:dyDescent="0.2">
      <c r="B46" s="60" t="s">
        <v>28</v>
      </c>
      <c r="C46" s="58" t="s">
        <v>378</v>
      </c>
      <c r="D46" s="191" t="s">
        <v>41</v>
      </c>
      <c r="E46" s="191" t="s">
        <v>43</v>
      </c>
      <c r="F46" s="191" t="s">
        <v>45</v>
      </c>
      <c r="G46" s="191" t="s">
        <v>47</v>
      </c>
      <c r="H46" s="191" t="s">
        <v>43</v>
      </c>
      <c r="I46" s="191" t="s">
        <v>45</v>
      </c>
      <c r="J46" s="191" t="s">
        <v>47</v>
      </c>
      <c r="K46" s="191" t="s">
        <v>43</v>
      </c>
      <c r="L46" s="191" t="s">
        <v>47</v>
      </c>
      <c r="M46" s="191" t="s">
        <v>43</v>
      </c>
      <c r="N46" s="191" t="s">
        <v>45</v>
      </c>
      <c r="O46" s="191" t="s">
        <v>47</v>
      </c>
      <c r="P46" s="191" t="s">
        <v>43</v>
      </c>
      <c r="Q46" s="191" t="s">
        <v>45</v>
      </c>
      <c r="R46" s="191" t="s">
        <v>47</v>
      </c>
      <c r="S46" s="191" t="s">
        <v>43</v>
      </c>
      <c r="T46" s="191" t="s">
        <v>45</v>
      </c>
      <c r="U46" s="191" t="s">
        <v>47</v>
      </c>
    </row>
    <row r="47" spans="2:21" ht="14.25" thickTop="1" x14ac:dyDescent="0.15">
      <c r="B47" s="56">
        <v>6</v>
      </c>
      <c r="C47" s="272">
        <v>6</v>
      </c>
      <c r="D47" s="26" t="s">
        <v>674</v>
      </c>
      <c r="E47" s="26" t="s">
        <v>680</v>
      </c>
      <c r="F47" s="464" t="s">
        <v>676</v>
      </c>
      <c r="G47" s="464" t="s">
        <v>678</v>
      </c>
      <c r="H47" s="15"/>
      <c r="I47" s="15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spans="2:21" x14ac:dyDescent="0.15">
      <c r="B48" s="56">
        <v>7</v>
      </c>
      <c r="C48" s="272">
        <v>9</v>
      </c>
      <c r="D48" s="26" t="s">
        <v>675</v>
      </c>
      <c r="E48" s="26" t="s">
        <v>679</v>
      </c>
      <c r="F48" s="464" t="s">
        <v>677</v>
      </c>
      <c r="G48" s="464" t="s">
        <v>681</v>
      </c>
      <c r="H48" s="464" t="s">
        <v>682</v>
      </c>
      <c r="I48" s="15" t="s">
        <v>683</v>
      </c>
      <c r="J48" s="464" t="s">
        <v>684</v>
      </c>
      <c r="K48" s="464" t="s">
        <v>685</v>
      </c>
      <c r="L48" s="464" t="s">
        <v>686</v>
      </c>
      <c r="M48" s="464" t="s">
        <v>687</v>
      </c>
      <c r="N48" s="464" t="s">
        <v>688</v>
      </c>
      <c r="O48" s="464" t="s">
        <v>689</v>
      </c>
      <c r="P48" s="464" t="s">
        <v>690</v>
      </c>
      <c r="Q48" s="26" t="s">
        <v>691</v>
      </c>
      <c r="R48" s="26" t="s">
        <v>692</v>
      </c>
      <c r="S48" s="26" t="s">
        <v>547</v>
      </c>
      <c r="T48" s="26" t="s">
        <v>548</v>
      </c>
      <c r="U48" s="26" t="s">
        <v>549</v>
      </c>
    </row>
    <row r="49" spans="2:21" x14ac:dyDescent="0.15">
      <c r="B49" s="56">
        <v>8</v>
      </c>
      <c r="C49" s="272">
        <v>9</v>
      </c>
      <c r="D49" s="26"/>
      <c r="E49" s="26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26"/>
      <c r="R49" s="26"/>
      <c r="S49" s="26"/>
      <c r="T49" s="26"/>
      <c r="U49" s="26"/>
    </row>
    <row r="50" spans="2:21" x14ac:dyDescent="0.15">
      <c r="B50" s="56">
        <v>9</v>
      </c>
      <c r="C50" s="272">
        <v>9</v>
      </c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spans="2:21" x14ac:dyDescent="0.15">
      <c r="B51" s="56">
        <v>10</v>
      </c>
      <c r="C51" s="272">
        <v>12</v>
      </c>
      <c r="D51" s="26" t="s">
        <v>386</v>
      </c>
      <c r="E51" s="26" t="s">
        <v>390</v>
      </c>
      <c r="F51" s="26" t="s">
        <v>394</v>
      </c>
      <c r="G51" s="26" t="s">
        <v>398</v>
      </c>
      <c r="H51" s="26" t="s">
        <v>402</v>
      </c>
      <c r="I51" s="26" t="s">
        <v>403</v>
      </c>
      <c r="J51" s="26" t="s">
        <v>404</v>
      </c>
      <c r="K51" s="26" t="s">
        <v>414</v>
      </c>
      <c r="L51" s="26" t="s">
        <v>415</v>
      </c>
      <c r="M51" s="26" t="s">
        <v>434</v>
      </c>
      <c r="N51" s="26" t="s">
        <v>435</v>
      </c>
      <c r="O51" s="26" t="s">
        <v>436</v>
      </c>
      <c r="P51" s="26" t="s">
        <v>446</v>
      </c>
      <c r="Q51" s="26" t="s">
        <v>447</v>
      </c>
      <c r="R51" s="26" t="s">
        <v>448</v>
      </c>
      <c r="S51" s="26" t="s">
        <v>422</v>
      </c>
      <c r="T51" s="26" t="s">
        <v>423</v>
      </c>
      <c r="U51" s="26" t="s">
        <v>424</v>
      </c>
    </row>
    <row r="52" spans="2:21" x14ac:dyDescent="0.15">
      <c r="B52" s="56">
        <v>11</v>
      </c>
      <c r="C52" s="272">
        <v>12</v>
      </c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spans="2:21" x14ac:dyDescent="0.15">
      <c r="B53" s="56">
        <v>12</v>
      </c>
      <c r="C53" s="272">
        <v>12</v>
      </c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</row>
    <row r="54" spans="2:21" x14ac:dyDescent="0.15">
      <c r="B54" s="56">
        <v>13</v>
      </c>
      <c r="C54" s="272">
        <v>15</v>
      </c>
      <c r="D54" s="26" t="s">
        <v>387</v>
      </c>
      <c r="E54" s="26" t="s">
        <v>391</v>
      </c>
      <c r="F54" s="26" t="s">
        <v>395</v>
      </c>
      <c r="G54" s="26" t="s">
        <v>399</v>
      </c>
      <c r="H54" s="26" t="s">
        <v>405</v>
      </c>
      <c r="I54" s="26" t="s">
        <v>406</v>
      </c>
      <c r="J54" s="26" t="s">
        <v>407</v>
      </c>
      <c r="K54" s="26" t="s">
        <v>416</v>
      </c>
      <c r="L54" s="26" t="s">
        <v>417</v>
      </c>
      <c r="M54" s="26" t="s">
        <v>437</v>
      </c>
      <c r="N54" s="26" t="s">
        <v>438</v>
      </c>
      <c r="O54" s="26" t="s">
        <v>439</v>
      </c>
      <c r="P54" s="26" t="s">
        <v>449</v>
      </c>
      <c r="Q54" s="26" t="s">
        <v>450</v>
      </c>
      <c r="R54" s="26" t="s">
        <v>451</v>
      </c>
      <c r="S54" s="26" t="s">
        <v>425</v>
      </c>
      <c r="T54" s="26" t="s">
        <v>426</v>
      </c>
      <c r="U54" s="26" t="s">
        <v>427</v>
      </c>
    </row>
    <row r="55" spans="2:21" x14ac:dyDescent="0.15">
      <c r="B55" s="56">
        <v>14</v>
      </c>
      <c r="C55" s="272">
        <v>15</v>
      </c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</row>
    <row r="56" spans="2:21" x14ac:dyDescent="0.15">
      <c r="B56" s="56">
        <v>15</v>
      </c>
      <c r="C56" s="272">
        <v>15</v>
      </c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</row>
    <row r="57" spans="2:21" x14ac:dyDescent="0.15">
      <c r="B57" s="56">
        <v>16</v>
      </c>
      <c r="C57" s="272">
        <v>18</v>
      </c>
      <c r="D57" s="26" t="s">
        <v>388</v>
      </c>
      <c r="E57" s="26" t="s">
        <v>392</v>
      </c>
      <c r="F57" s="26" t="s">
        <v>396</v>
      </c>
      <c r="G57" s="26" t="s">
        <v>400</v>
      </c>
      <c r="H57" s="26" t="s">
        <v>408</v>
      </c>
      <c r="I57" s="26" t="s">
        <v>409</v>
      </c>
      <c r="J57" s="26" t="s">
        <v>410</v>
      </c>
      <c r="K57" s="26" t="s">
        <v>418</v>
      </c>
      <c r="L57" s="26" t="s">
        <v>419</v>
      </c>
      <c r="M57" s="26" t="s">
        <v>440</v>
      </c>
      <c r="N57" s="26" t="s">
        <v>441</v>
      </c>
      <c r="O57" s="26" t="s">
        <v>442</v>
      </c>
      <c r="P57" s="26" t="s">
        <v>452</v>
      </c>
      <c r="Q57" s="26" t="s">
        <v>453</v>
      </c>
      <c r="R57" s="26" t="s">
        <v>454</v>
      </c>
      <c r="S57" s="26" t="s">
        <v>428</v>
      </c>
      <c r="T57" s="26" t="s">
        <v>429</v>
      </c>
      <c r="U57" s="26" t="s">
        <v>430</v>
      </c>
    </row>
    <row r="58" spans="2:21" x14ac:dyDescent="0.15">
      <c r="B58" s="56">
        <v>17</v>
      </c>
      <c r="C58" s="272">
        <v>18</v>
      </c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</row>
    <row r="59" spans="2:21" x14ac:dyDescent="0.15">
      <c r="B59" s="56">
        <v>18</v>
      </c>
      <c r="C59" s="272">
        <v>18</v>
      </c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</row>
    <row r="60" spans="2:21" x14ac:dyDescent="0.15">
      <c r="B60" s="56">
        <v>19</v>
      </c>
      <c r="C60" s="272">
        <v>19</v>
      </c>
      <c r="D60" s="26" t="s">
        <v>389</v>
      </c>
      <c r="E60" s="26" t="s">
        <v>393</v>
      </c>
      <c r="F60" s="26" t="s">
        <v>397</v>
      </c>
      <c r="G60" s="26" t="s">
        <v>401</v>
      </c>
      <c r="H60" s="26" t="s">
        <v>411</v>
      </c>
      <c r="I60" s="26" t="s">
        <v>412</v>
      </c>
      <c r="J60" s="26" t="s">
        <v>413</v>
      </c>
      <c r="K60" s="26" t="s">
        <v>420</v>
      </c>
      <c r="L60" s="26" t="s">
        <v>421</v>
      </c>
      <c r="M60" s="26" t="s">
        <v>443</v>
      </c>
      <c r="N60" s="26" t="s">
        <v>444</v>
      </c>
      <c r="O60" s="26" t="s">
        <v>445</v>
      </c>
      <c r="P60" s="26" t="s">
        <v>455</v>
      </c>
      <c r="Q60" s="26" t="s">
        <v>456</v>
      </c>
      <c r="R60" s="26" t="s">
        <v>457</v>
      </c>
      <c r="S60" s="26" t="s">
        <v>431</v>
      </c>
      <c r="T60" s="26" t="s">
        <v>432</v>
      </c>
      <c r="U60" s="26" t="s">
        <v>433</v>
      </c>
    </row>
    <row r="62" spans="2:21" ht="24" customHeight="1" x14ac:dyDescent="0.15">
      <c r="B62" t="s">
        <v>382</v>
      </c>
    </row>
    <row r="63" spans="2:21" x14ac:dyDescent="0.15">
      <c r="B63" t="s">
        <v>553</v>
      </c>
      <c r="C63" t="s">
        <v>554</v>
      </c>
    </row>
    <row r="64" spans="2:21" ht="14.25" thickBot="1" x14ac:dyDescent="0.2">
      <c r="C64" s="274" t="s">
        <v>489</v>
      </c>
    </row>
    <row r="65" spans="2:16" ht="15" thickTop="1" thickBot="1" x14ac:dyDescent="0.2">
      <c r="B65" s="275">
        <v>43557</v>
      </c>
      <c r="C65" s="276">
        <v>41731</v>
      </c>
      <c r="D65" t="s">
        <v>555</v>
      </c>
    </row>
    <row r="66" spans="2:16" ht="14.25" thickTop="1" x14ac:dyDescent="0.15"/>
    <row r="67" spans="2:16" ht="14.25" thickBot="1" x14ac:dyDescent="0.2">
      <c r="B67" t="s">
        <v>520</v>
      </c>
      <c r="D67">
        <v>1</v>
      </c>
      <c r="E67">
        <v>2</v>
      </c>
      <c r="F67">
        <v>3</v>
      </c>
      <c r="G67">
        <v>4</v>
      </c>
      <c r="H67">
        <v>5</v>
      </c>
      <c r="I67">
        <v>6</v>
      </c>
      <c r="J67">
        <v>7</v>
      </c>
      <c r="K67">
        <v>8</v>
      </c>
      <c r="L67">
        <v>9</v>
      </c>
      <c r="M67">
        <v>10</v>
      </c>
    </row>
    <row r="68" spans="2:16" ht="14.25" thickBot="1" x14ac:dyDescent="0.2">
      <c r="C68" s="274" t="s">
        <v>489</v>
      </c>
      <c r="D68" t="s">
        <v>566</v>
      </c>
      <c r="E68" s="247" t="s">
        <v>521</v>
      </c>
      <c r="F68" s="247" t="s">
        <v>522</v>
      </c>
      <c r="G68" s="247" t="s">
        <v>523</v>
      </c>
      <c r="H68" s="248" t="s">
        <v>148</v>
      </c>
      <c r="I68" s="248" t="s">
        <v>488</v>
      </c>
      <c r="J68" s="248" t="s">
        <v>487</v>
      </c>
      <c r="L68" s="297" t="s">
        <v>562</v>
      </c>
      <c r="M68" s="349" t="s">
        <v>563</v>
      </c>
    </row>
    <row r="69" spans="2:16" ht="14.25" thickTop="1" x14ac:dyDescent="0.15">
      <c r="B69" s="281">
        <v>43556</v>
      </c>
      <c r="C69" s="299">
        <v>43556</v>
      </c>
      <c r="D69" s="279">
        <v>1</v>
      </c>
      <c r="E69" s="249" t="s">
        <v>876</v>
      </c>
      <c r="F69" s="249" t="s">
        <v>901</v>
      </c>
      <c r="G69" s="249" t="s">
        <v>879</v>
      </c>
      <c r="H69" s="249" t="s">
        <v>880</v>
      </c>
      <c r="I69" s="252" t="s">
        <v>881</v>
      </c>
      <c r="J69" s="249" t="s">
        <v>882</v>
      </c>
      <c r="L69" s="249" t="s">
        <v>900</v>
      </c>
      <c r="M69" s="249" t="s">
        <v>902</v>
      </c>
      <c r="P69" s="29"/>
    </row>
    <row r="70" spans="2:16" x14ac:dyDescent="0.15">
      <c r="B70" s="282" t="s">
        <v>492</v>
      </c>
      <c r="C70" s="300" t="s">
        <v>866</v>
      </c>
      <c r="D70" s="263"/>
      <c r="E70" s="253"/>
      <c r="F70" s="253"/>
      <c r="G70" s="253"/>
      <c r="H70" s="253"/>
      <c r="I70" s="256"/>
      <c r="J70" s="253"/>
      <c r="L70" s="253"/>
      <c r="M70" s="253"/>
    </row>
    <row r="71" spans="2:16" x14ac:dyDescent="0.15">
      <c r="B71" s="283">
        <v>42462</v>
      </c>
      <c r="C71" s="301">
        <v>42462</v>
      </c>
      <c r="D71" s="280"/>
      <c r="E71" s="257"/>
      <c r="F71" s="253"/>
      <c r="G71" s="253"/>
      <c r="H71" s="253"/>
      <c r="I71" s="256"/>
      <c r="J71" s="253"/>
      <c r="L71" s="253"/>
      <c r="M71" s="253"/>
    </row>
    <row r="72" spans="2:16" x14ac:dyDescent="0.15">
      <c r="B72" s="284">
        <v>42461</v>
      </c>
      <c r="C72" s="302">
        <v>42461</v>
      </c>
      <c r="D72" s="279">
        <v>2</v>
      </c>
      <c r="E72" s="249" t="s">
        <v>877</v>
      </c>
      <c r="F72" s="249" t="s">
        <v>878</v>
      </c>
      <c r="G72" s="249" t="s">
        <v>879</v>
      </c>
      <c r="H72" s="249" t="s">
        <v>880</v>
      </c>
      <c r="I72" s="252" t="s">
        <v>881</v>
      </c>
      <c r="J72" s="249" t="s">
        <v>882</v>
      </c>
      <c r="L72" s="249" t="s">
        <v>902</v>
      </c>
      <c r="M72" s="249" t="s">
        <v>902</v>
      </c>
    </row>
    <row r="73" spans="2:16" x14ac:dyDescent="0.15">
      <c r="B73" s="282" t="s">
        <v>492</v>
      </c>
      <c r="C73" s="300" t="s">
        <v>866</v>
      </c>
      <c r="D73" s="263"/>
      <c r="E73" s="253"/>
      <c r="F73" s="253"/>
      <c r="G73" s="253"/>
      <c r="H73" s="253"/>
      <c r="I73" s="256"/>
      <c r="J73" s="253"/>
      <c r="L73" s="253"/>
      <c r="M73" s="253"/>
    </row>
    <row r="74" spans="2:16" x14ac:dyDescent="0.15">
      <c r="B74" s="283">
        <v>41366</v>
      </c>
      <c r="C74" s="301">
        <v>41366</v>
      </c>
      <c r="D74" s="280"/>
      <c r="E74" s="257"/>
      <c r="F74" s="257"/>
      <c r="G74" s="257"/>
      <c r="H74" s="257"/>
      <c r="I74" s="260"/>
      <c r="J74" s="257"/>
      <c r="L74" s="257"/>
      <c r="M74" s="257"/>
    </row>
    <row r="75" spans="2:16" x14ac:dyDescent="0.15">
      <c r="B75" s="284">
        <v>41365</v>
      </c>
      <c r="C75" s="302">
        <v>41365</v>
      </c>
      <c r="D75" s="279">
        <v>3</v>
      </c>
      <c r="E75" s="249" t="s">
        <v>883</v>
      </c>
      <c r="F75" s="249" t="s">
        <v>884</v>
      </c>
      <c r="G75" s="249" t="s">
        <v>885</v>
      </c>
      <c r="H75" s="249" t="s">
        <v>886</v>
      </c>
      <c r="I75" s="252" t="s">
        <v>887</v>
      </c>
      <c r="J75" s="249" t="s">
        <v>888</v>
      </c>
      <c r="L75" s="249" t="s">
        <v>903</v>
      </c>
      <c r="M75" s="249" t="s">
        <v>903</v>
      </c>
    </row>
    <row r="76" spans="2:16" x14ac:dyDescent="0.15">
      <c r="B76" s="282" t="s">
        <v>492</v>
      </c>
      <c r="C76" s="300" t="s">
        <v>866</v>
      </c>
      <c r="D76" s="263"/>
      <c r="E76" s="253"/>
      <c r="F76" s="253"/>
      <c r="G76" s="253"/>
      <c r="H76" s="253"/>
      <c r="I76" s="256"/>
      <c r="J76" s="253"/>
      <c r="L76" s="253"/>
      <c r="M76" s="253"/>
    </row>
    <row r="77" spans="2:16" x14ac:dyDescent="0.15">
      <c r="B77" s="283">
        <v>40270</v>
      </c>
      <c r="C77" s="301">
        <v>40270</v>
      </c>
      <c r="D77" s="280"/>
      <c r="E77" s="257"/>
      <c r="F77" s="257"/>
      <c r="G77" s="257"/>
      <c r="H77" s="257"/>
      <c r="I77" s="260"/>
      <c r="J77" s="257"/>
      <c r="L77" s="257"/>
      <c r="M77" s="257"/>
    </row>
    <row r="78" spans="2:16" x14ac:dyDescent="0.15">
      <c r="B78" s="284">
        <v>40269</v>
      </c>
      <c r="C78" s="302">
        <v>40269</v>
      </c>
      <c r="D78" s="279">
        <v>4</v>
      </c>
      <c r="E78" s="249" t="s">
        <v>904</v>
      </c>
      <c r="F78" s="249" t="s">
        <v>889</v>
      </c>
      <c r="G78" s="249" t="s">
        <v>890</v>
      </c>
      <c r="H78" s="249" t="s">
        <v>891</v>
      </c>
      <c r="I78" s="252" t="s">
        <v>892</v>
      </c>
      <c r="J78" s="249" t="s">
        <v>893</v>
      </c>
      <c r="L78" s="249" t="s">
        <v>905</v>
      </c>
      <c r="M78" s="249" t="s">
        <v>905</v>
      </c>
    </row>
    <row r="79" spans="2:16" x14ac:dyDescent="0.15">
      <c r="B79" s="282" t="s">
        <v>492</v>
      </c>
      <c r="C79" s="300" t="s">
        <v>866</v>
      </c>
      <c r="D79" s="263"/>
      <c r="E79" s="253"/>
      <c r="F79" s="253"/>
      <c r="G79" s="253"/>
      <c r="H79" s="253"/>
      <c r="I79" s="256"/>
      <c r="J79" s="253"/>
      <c r="L79" s="253"/>
      <c r="M79" s="253"/>
    </row>
    <row r="80" spans="2:16" x14ac:dyDescent="0.15">
      <c r="B80" s="283">
        <v>39174</v>
      </c>
      <c r="C80" s="301">
        <v>39174</v>
      </c>
      <c r="D80" s="280"/>
      <c r="E80" s="257"/>
      <c r="F80" s="257"/>
      <c r="G80" s="257"/>
      <c r="H80" s="257"/>
      <c r="I80" s="260"/>
      <c r="J80" s="257"/>
      <c r="L80" s="257"/>
      <c r="M80" s="257"/>
    </row>
    <row r="81" spans="2:15" x14ac:dyDescent="0.15">
      <c r="B81" s="284">
        <v>39173</v>
      </c>
      <c r="C81" s="302">
        <v>39173</v>
      </c>
      <c r="D81" s="279">
        <v>5</v>
      </c>
      <c r="E81" s="249" t="s">
        <v>906</v>
      </c>
      <c r="F81" s="249" t="s">
        <v>895</v>
      </c>
      <c r="G81" s="249" t="s">
        <v>896</v>
      </c>
      <c r="H81" s="249" t="s">
        <v>897</v>
      </c>
      <c r="I81" s="252" t="s">
        <v>898</v>
      </c>
      <c r="J81" s="249" t="s">
        <v>899</v>
      </c>
      <c r="L81" s="249" t="s">
        <v>907</v>
      </c>
      <c r="M81" s="249" t="s">
        <v>907</v>
      </c>
    </row>
    <row r="82" spans="2:15" x14ac:dyDescent="0.15">
      <c r="B82" s="282" t="s">
        <v>492</v>
      </c>
      <c r="C82" s="300" t="s">
        <v>866</v>
      </c>
      <c r="D82" s="263"/>
      <c r="E82" s="253"/>
      <c r="F82" s="253"/>
      <c r="G82" s="253"/>
      <c r="H82" s="253"/>
      <c r="I82" s="256"/>
      <c r="J82" s="253"/>
      <c r="L82" s="253"/>
      <c r="M82" s="253"/>
    </row>
    <row r="83" spans="2:15" x14ac:dyDescent="0.15">
      <c r="B83" s="283"/>
      <c r="C83" s="301"/>
      <c r="D83" s="280"/>
      <c r="E83" s="257"/>
      <c r="F83" s="257"/>
      <c r="G83" s="257"/>
      <c r="H83" s="257"/>
      <c r="I83" s="260"/>
      <c r="J83" s="257"/>
      <c r="L83" s="257"/>
      <c r="M83" s="257"/>
    </row>
    <row r="84" spans="2:15" x14ac:dyDescent="0.15">
      <c r="B84" s="284"/>
      <c r="C84" s="302"/>
      <c r="D84" s="279">
        <v>6</v>
      </c>
      <c r="E84" s="249" t="s">
        <v>894</v>
      </c>
      <c r="F84" s="249" t="s">
        <v>895</v>
      </c>
      <c r="G84" s="249" t="s">
        <v>896</v>
      </c>
      <c r="H84" s="249" t="s">
        <v>897</v>
      </c>
      <c r="I84" s="252" t="s">
        <v>898</v>
      </c>
      <c r="J84" s="249" t="s">
        <v>899</v>
      </c>
      <c r="L84" s="249" t="s">
        <v>907</v>
      </c>
      <c r="M84" s="249" t="s">
        <v>907</v>
      </c>
    </row>
    <row r="85" spans="2:15" x14ac:dyDescent="0.15">
      <c r="B85" s="282" t="s">
        <v>492</v>
      </c>
      <c r="C85" s="300" t="s">
        <v>866</v>
      </c>
      <c r="D85" s="263"/>
      <c r="E85" s="253"/>
      <c r="F85" s="253"/>
      <c r="G85" s="253"/>
      <c r="H85" s="253"/>
      <c r="I85" s="256"/>
      <c r="J85" s="253"/>
      <c r="L85" s="253"/>
      <c r="M85" s="253"/>
    </row>
    <row r="86" spans="2:15" ht="14.25" thickBot="1" x14ac:dyDescent="0.2">
      <c r="B86" s="285"/>
      <c r="C86" s="286"/>
      <c r="D86" s="280"/>
      <c r="E86" s="257"/>
      <c r="F86" s="257"/>
      <c r="G86" s="257"/>
      <c r="H86" s="261"/>
      <c r="I86" s="262"/>
      <c r="J86" s="261"/>
      <c r="L86" s="257"/>
      <c r="M86" s="257"/>
    </row>
    <row r="87" spans="2:15" ht="14.25" thickTop="1" x14ac:dyDescent="0.15"/>
    <row r="88" spans="2:15" ht="24" customHeight="1" x14ac:dyDescent="0.15">
      <c r="B88" t="s">
        <v>383</v>
      </c>
      <c r="M88" s="1"/>
    </row>
    <row r="89" spans="2:15" x14ac:dyDescent="0.15">
      <c r="D89">
        <v>1</v>
      </c>
      <c r="E89">
        <v>2</v>
      </c>
      <c r="F89">
        <v>3</v>
      </c>
      <c r="G89">
        <v>4</v>
      </c>
      <c r="H89">
        <v>5</v>
      </c>
      <c r="I89">
        <v>6</v>
      </c>
      <c r="J89">
        <v>7</v>
      </c>
      <c r="K89">
        <v>8</v>
      </c>
      <c r="L89">
        <v>9</v>
      </c>
      <c r="M89">
        <v>10</v>
      </c>
      <c r="N89">
        <v>11</v>
      </c>
      <c r="O89">
        <v>12</v>
      </c>
    </row>
    <row r="90" spans="2:15" ht="14.25" thickBot="1" x14ac:dyDescent="0.2">
      <c r="D90" s="57"/>
      <c r="E90" t="s">
        <v>560</v>
      </c>
    </row>
    <row r="91" spans="2:15" ht="14.25" thickBot="1" x14ac:dyDescent="0.2">
      <c r="C91" s="274" t="s">
        <v>489</v>
      </c>
      <c r="D91" t="s">
        <v>565</v>
      </c>
      <c r="E91" t="s">
        <v>490</v>
      </c>
      <c r="F91" s="247" t="s">
        <v>559</v>
      </c>
      <c r="G91" s="247" t="s">
        <v>522</v>
      </c>
      <c r="H91" s="247" t="s">
        <v>486</v>
      </c>
      <c r="I91" s="248" t="s">
        <v>148</v>
      </c>
      <c r="J91" s="248" t="s">
        <v>488</v>
      </c>
      <c r="K91" s="248" t="s">
        <v>487</v>
      </c>
      <c r="M91" s="297" t="s">
        <v>562</v>
      </c>
      <c r="N91" s="297" t="s">
        <v>564</v>
      </c>
      <c r="O91" s="349" t="s">
        <v>563</v>
      </c>
    </row>
    <row r="92" spans="2:15" ht="14.25" thickTop="1" x14ac:dyDescent="0.15">
      <c r="B92" s="281">
        <v>43556</v>
      </c>
      <c r="C92" s="299">
        <v>43556</v>
      </c>
      <c r="D92" s="279">
        <v>1</v>
      </c>
      <c r="E92" s="279">
        <v>7</v>
      </c>
      <c r="F92" s="249" t="s">
        <v>908</v>
      </c>
      <c r="G92" s="249" t="s">
        <v>910</v>
      </c>
      <c r="H92" s="249" t="s">
        <v>911</v>
      </c>
      <c r="I92" s="249" t="s">
        <v>912</v>
      </c>
      <c r="J92" s="252" t="s">
        <v>913</v>
      </c>
      <c r="K92" s="249" t="s">
        <v>955</v>
      </c>
      <c r="M92" s="249" t="s">
        <v>1052</v>
      </c>
      <c r="N92" s="249" t="s">
        <v>1053</v>
      </c>
      <c r="O92" s="28" t="s">
        <v>1051</v>
      </c>
    </row>
    <row r="93" spans="2:15" x14ac:dyDescent="0.15">
      <c r="B93" s="282" t="s">
        <v>492</v>
      </c>
      <c r="C93" s="300" t="s">
        <v>866</v>
      </c>
      <c r="D93" s="263"/>
      <c r="E93" s="263"/>
      <c r="F93" s="253"/>
      <c r="G93" s="253"/>
      <c r="H93" s="253"/>
      <c r="I93" s="253"/>
      <c r="J93" s="256"/>
      <c r="K93" s="253"/>
      <c r="M93" s="253"/>
      <c r="N93" s="253"/>
      <c r="O93" s="277"/>
    </row>
    <row r="94" spans="2:15" x14ac:dyDescent="0.15">
      <c r="B94" s="283">
        <v>42462</v>
      </c>
      <c r="C94" s="301">
        <v>42462</v>
      </c>
      <c r="D94" s="280"/>
      <c r="E94" s="280"/>
      <c r="F94" s="257"/>
      <c r="G94" s="253"/>
      <c r="H94" s="253"/>
      <c r="I94" s="253"/>
      <c r="J94" s="256"/>
      <c r="K94" s="253"/>
      <c r="M94" s="257"/>
      <c r="N94" s="257"/>
      <c r="O94" s="278"/>
    </row>
    <row r="95" spans="2:15" x14ac:dyDescent="0.15">
      <c r="B95" s="284">
        <v>42461</v>
      </c>
      <c r="C95" s="302">
        <v>42461</v>
      </c>
      <c r="D95" s="279">
        <v>2</v>
      </c>
      <c r="E95" s="279">
        <v>7</v>
      </c>
      <c r="F95" s="249" t="s">
        <v>909</v>
      </c>
      <c r="G95" s="249" t="s">
        <v>910</v>
      </c>
      <c r="H95" s="249" t="s">
        <v>911</v>
      </c>
      <c r="I95" s="249" t="s">
        <v>912</v>
      </c>
      <c r="J95" s="252" t="s">
        <v>913</v>
      </c>
      <c r="K95" s="249" t="s">
        <v>914</v>
      </c>
      <c r="M95" s="249" t="s">
        <v>1053</v>
      </c>
      <c r="N95" s="249" t="s">
        <v>1053</v>
      </c>
      <c r="O95" s="28" t="s">
        <v>1051</v>
      </c>
    </row>
    <row r="96" spans="2:15" x14ac:dyDescent="0.15">
      <c r="B96" s="282" t="s">
        <v>492</v>
      </c>
      <c r="C96" s="300" t="s">
        <v>866</v>
      </c>
      <c r="D96" s="263"/>
      <c r="E96" s="263"/>
      <c r="F96" s="253"/>
      <c r="G96" s="253"/>
      <c r="H96" s="253"/>
      <c r="I96" s="253"/>
      <c r="J96" s="256"/>
      <c r="K96" s="253"/>
      <c r="M96" s="253"/>
      <c r="N96" s="253"/>
      <c r="O96" s="277"/>
    </row>
    <row r="97" spans="2:15" x14ac:dyDescent="0.15">
      <c r="B97" s="283">
        <v>41366</v>
      </c>
      <c r="C97" s="301">
        <v>41366</v>
      </c>
      <c r="D97" s="280"/>
      <c r="E97" s="280"/>
      <c r="F97" s="257"/>
      <c r="G97" s="257"/>
      <c r="H97" s="257"/>
      <c r="I97" s="257"/>
      <c r="J97" s="260"/>
      <c r="K97" s="257"/>
      <c r="M97" s="257"/>
      <c r="N97" s="257"/>
      <c r="O97" s="278"/>
    </row>
    <row r="98" spans="2:15" x14ac:dyDescent="0.15">
      <c r="B98" s="337"/>
      <c r="C98" s="302" t="s">
        <v>560</v>
      </c>
      <c r="D98" s="343">
        <v>7</v>
      </c>
      <c r="E98" s="343"/>
      <c r="F98" s="250" t="s">
        <v>915</v>
      </c>
      <c r="G98" s="250" t="s">
        <v>917</v>
      </c>
      <c r="H98" s="251" t="s">
        <v>919</v>
      </c>
      <c r="I98" s="45"/>
      <c r="J98" s="339"/>
      <c r="K98" s="45"/>
      <c r="M98" s="250" t="s">
        <v>1054</v>
      </c>
      <c r="N98" s="250" t="s">
        <v>1054</v>
      </c>
      <c r="O98" s="28"/>
    </row>
    <row r="99" spans="2:15" x14ac:dyDescent="0.15">
      <c r="B99" s="337"/>
      <c r="C99" s="478"/>
      <c r="D99" s="343"/>
      <c r="E99" s="343"/>
      <c r="F99" s="254"/>
      <c r="G99" s="254"/>
      <c r="H99" s="255"/>
      <c r="I99" s="45"/>
      <c r="J99" s="339"/>
      <c r="K99" s="45"/>
      <c r="M99" s="254"/>
      <c r="N99" s="254"/>
      <c r="O99" s="277"/>
    </row>
    <row r="100" spans="2:15" x14ac:dyDescent="0.15">
      <c r="B100" s="337"/>
      <c r="C100" s="478"/>
      <c r="D100" s="343"/>
      <c r="E100" s="343"/>
      <c r="F100" s="258"/>
      <c r="G100" s="258"/>
      <c r="H100" s="259"/>
      <c r="I100" s="45"/>
      <c r="J100" s="339"/>
      <c r="K100" s="45"/>
      <c r="M100" s="258"/>
      <c r="N100" s="258"/>
      <c r="O100" s="278"/>
    </row>
    <row r="101" spans="2:15" x14ac:dyDescent="0.15">
      <c r="B101" s="284">
        <v>41365</v>
      </c>
      <c r="C101" s="302">
        <v>41365</v>
      </c>
      <c r="D101" s="279">
        <v>3</v>
      </c>
      <c r="E101" s="279">
        <v>8</v>
      </c>
      <c r="F101" s="249" t="s">
        <v>920</v>
      </c>
      <c r="G101" s="249" t="s">
        <v>921</v>
      </c>
      <c r="H101" s="249" t="s">
        <v>922</v>
      </c>
      <c r="I101" s="249" t="s">
        <v>923</v>
      </c>
      <c r="J101" s="252" t="s">
        <v>924</v>
      </c>
      <c r="K101" s="249" t="s">
        <v>925</v>
      </c>
      <c r="M101" s="249" t="s">
        <v>1055</v>
      </c>
      <c r="N101" s="249" t="s">
        <v>1055</v>
      </c>
      <c r="O101" s="28" t="s">
        <v>1062</v>
      </c>
    </row>
    <row r="102" spans="2:15" x14ac:dyDescent="0.15">
      <c r="B102" s="282" t="s">
        <v>492</v>
      </c>
      <c r="C102" s="300" t="s">
        <v>866</v>
      </c>
      <c r="D102" s="263"/>
      <c r="E102" s="263"/>
      <c r="F102" s="253"/>
      <c r="G102" s="253"/>
      <c r="H102" s="253"/>
      <c r="I102" s="253"/>
      <c r="J102" s="256"/>
      <c r="K102" s="253"/>
      <c r="M102" s="253"/>
      <c r="N102" s="253"/>
      <c r="O102" s="277"/>
    </row>
    <row r="103" spans="2:15" x14ac:dyDescent="0.15">
      <c r="B103" s="283">
        <v>40270</v>
      </c>
      <c r="C103" s="301">
        <v>40270</v>
      </c>
      <c r="D103" s="280"/>
      <c r="E103" s="280"/>
      <c r="F103" s="257"/>
      <c r="G103" s="257"/>
      <c r="H103" s="257"/>
      <c r="I103" s="257"/>
      <c r="J103" s="260"/>
      <c r="K103" s="257"/>
      <c r="M103" s="257"/>
      <c r="N103" s="257"/>
      <c r="O103" s="278"/>
    </row>
    <row r="104" spans="2:15" x14ac:dyDescent="0.15">
      <c r="B104" s="337"/>
      <c r="C104" s="302" t="s">
        <v>560</v>
      </c>
      <c r="D104" s="343">
        <v>8</v>
      </c>
      <c r="E104" s="343"/>
      <c r="F104" s="250" t="s">
        <v>950</v>
      </c>
      <c r="G104" s="250" t="s">
        <v>952</v>
      </c>
      <c r="H104" s="251" t="s">
        <v>954</v>
      </c>
      <c r="I104" s="45"/>
      <c r="J104" s="339"/>
      <c r="K104" s="45"/>
      <c r="M104" s="250" t="s">
        <v>1056</v>
      </c>
      <c r="N104" s="250" t="s">
        <v>1056</v>
      </c>
      <c r="O104" s="28"/>
    </row>
    <row r="105" spans="2:15" x14ac:dyDescent="0.15">
      <c r="B105" s="337"/>
      <c r="C105" s="478"/>
      <c r="D105" s="343"/>
      <c r="E105" s="343"/>
      <c r="F105" s="254"/>
      <c r="G105" s="254"/>
      <c r="H105" s="255"/>
      <c r="I105" s="45"/>
      <c r="J105" s="339"/>
      <c r="K105" s="45"/>
      <c r="M105" s="254"/>
      <c r="N105" s="254"/>
      <c r="O105" s="277"/>
    </row>
    <row r="106" spans="2:15" x14ac:dyDescent="0.15">
      <c r="B106" s="337"/>
      <c r="C106" s="478"/>
      <c r="D106" s="343"/>
      <c r="E106" s="343"/>
      <c r="F106" s="258"/>
      <c r="G106" s="258"/>
      <c r="H106" s="259"/>
      <c r="I106" s="45"/>
      <c r="J106" s="339"/>
      <c r="K106" s="45"/>
      <c r="M106" s="258"/>
      <c r="N106" s="258"/>
      <c r="O106" s="278"/>
    </row>
    <row r="107" spans="2:15" x14ac:dyDescent="0.15">
      <c r="B107" s="284">
        <v>40269</v>
      </c>
      <c r="C107" s="302">
        <v>40269</v>
      </c>
      <c r="D107" s="279">
        <v>4</v>
      </c>
      <c r="E107" s="279">
        <v>9</v>
      </c>
      <c r="F107" s="249" t="s">
        <v>926</v>
      </c>
      <c r="G107" s="249" t="s">
        <v>927</v>
      </c>
      <c r="H107" s="249" t="s">
        <v>928</v>
      </c>
      <c r="I107" s="249" t="s">
        <v>929</v>
      </c>
      <c r="J107" s="252" t="s">
        <v>930</v>
      </c>
      <c r="K107" s="249" t="s">
        <v>931</v>
      </c>
      <c r="M107" s="249" t="s">
        <v>1057</v>
      </c>
      <c r="N107" s="249" t="s">
        <v>1057</v>
      </c>
      <c r="O107" s="28" t="s">
        <v>1063</v>
      </c>
    </row>
    <row r="108" spans="2:15" x14ac:dyDescent="0.15">
      <c r="B108" s="282" t="s">
        <v>492</v>
      </c>
      <c r="C108" s="300" t="s">
        <v>866</v>
      </c>
      <c r="D108" s="263"/>
      <c r="E108" s="263"/>
      <c r="F108" s="253"/>
      <c r="G108" s="253"/>
      <c r="H108" s="253"/>
      <c r="I108" s="253"/>
      <c r="J108" s="256"/>
      <c r="K108" s="253"/>
      <c r="M108" s="253"/>
      <c r="N108" s="253"/>
      <c r="O108" s="277"/>
    </row>
    <row r="109" spans="2:15" x14ac:dyDescent="0.15">
      <c r="B109" s="283">
        <v>39174</v>
      </c>
      <c r="C109" s="301">
        <v>39174</v>
      </c>
      <c r="D109" s="280"/>
      <c r="E109" s="280"/>
      <c r="F109" s="257"/>
      <c r="G109" s="257"/>
      <c r="H109" s="257"/>
      <c r="I109" s="257"/>
      <c r="J109" s="260"/>
      <c r="K109" s="257"/>
      <c r="M109" s="257"/>
      <c r="N109" s="257"/>
      <c r="O109" s="278"/>
    </row>
    <row r="110" spans="2:15" x14ac:dyDescent="0.15">
      <c r="B110" s="337"/>
      <c r="C110" s="302" t="s">
        <v>560</v>
      </c>
      <c r="D110" s="343">
        <v>9</v>
      </c>
      <c r="E110" s="343"/>
      <c r="F110" s="250" t="s">
        <v>938</v>
      </c>
      <c r="G110" s="250" t="s">
        <v>940</v>
      </c>
      <c r="H110" s="251" t="s">
        <v>942</v>
      </c>
      <c r="I110" s="45"/>
      <c r="J110" s="339"/>
      <c r="K110" s="45"/>
      <c r="M110" s="250" t="s">
        <v>1058</v>
      </c>
      <c r="N110" s="250" t="s">
        <v>1058</v>
      </c>
      <c r="O110" s="28"/>
    </row>
    <row r="111" spans="2:15" x14ac:dyDescent="0.15">
      <c r="B111" s="337"/>
      <c r="C111" s="478"/>
      <c r="D111" s="343"/>
      <c r="E111" s="343"/>
      <c r="F111" s="254"/>
      <c r="G111" s="254"/>
      <c r="H111" s="255"/>
      <c r="I111" s="45"/>
      <c r="J111" s="339"/>
      <c r="K111" s="45"/>
      <c r="M111" s="254"/>
      <c r="N111" s="254"/>
      <c r="O111" s="277"/>
    </row>
    <row r="112" spans="2:15" x14ac:dyDescent="0.15">
      <c r="B112" s="337"/>
      <c r="C112" s="478"/>
      <c r="D112" s="343"/>
      <c r="E112" s="343"/>
      <c r="F112" s="258"/>
      <c r="G112" s="258"/>
      <c r="H112" s="259"/>
      <c r="I112" s="45"/>
      <c r="J112" s="339"/>
      <c r="K112" s="45"/>
      <c r="M112" s="258"/>
      <c r="N112" s="258"/>
      <c r="O112" s="278"/>
    </row>
    <row r="113" spans="2:15" x14ac:dyDescent="0.15">
      <c r="B113" s="284">
        <v>39173</v>
      </c>
      <c r="C113" s="302">
        <v>39173</v>
      </c>
      <c r="D113" s="279">
        <v>5</v>
      </c>
      <c r="E113" s="279">
        <v>10</v>
      </c>
      <c r="F113" s="249" t="s">
        <v>932</v>
      </c>
      <c r="G113" s="249" t="s">
        <v>933</v>
      </c>
      <c r="H113" s="249" t="s">
        <v>934</v>
      </c>
      <c r="I113" s="249" t="s">
        <v>935</v>
      </c>
      <c r="J113" s="252" t="s">
        <v>936</v>
      </c>
      <c r="K113" s="249" t="s">
        <v>937</v>
      </c>
      <c r="M113" s="249" t="s">
        <v>1059</v>
      </c>
      <c r="N113" s="249" t="s">
        <v>1059</v>
      </c>
      <c r="O113" s="28" t="s">
        <v>1064</v>
      </c>
    </row>
    <row r="114" spans="2:15" x14ac:dyDescent="0.15">
      <c r="B114" s="282" t="s">
        <v>492</v>
      </c>
      <c r="C114" s="300" t="s">
        <v>866</v>
      </c>
      <c r="D114" s="263"/>
      <c r="E114" s="263"/>
      <c r="F114" s="253"/>
      <c r="G114" s="253"/>
      <c r="H114" s="253"/>
      <c r="I114" s="253"/>
      <c r="J114" s="256"/>
      <c r="K114" s="253"/>
      <c r="M114" s="253"/>
      <c r="N114" s="253"/>
      <c r="O114" s="277"/>
    </row>
    <row r="115" spans="2:15" x14ac:dyDescent="0.15">
      <c r="B115" s="283">
        <v>37713</v>
      </c>
      <c r="C115" s="301">
        <v>37713</v>
      </c>
      <c r="D115" s="280"/>
      <c r="E115" s="280"/>
      <c r="F115" s="257"/>
      <c r="G115" s="257"/>
      <c r="H115" s="257"/>
      <c r="I115" s="257"/>
      <c r="J115" s="260"/>
      <c r="K115" s="257"/>
      <c r="M115" s="257"/>
      <c r="N115" s="257"/>
      <c r="O115" s="278"/>
    </row>
    <row r="116" spans="2:15" x14ac:dyDescent="0.15">
      <c r="B116" s="284">
        <v>37712</v>
      </c>
      <c r="C116" s="302">
        <v>37712</v>
      </c>
      <c r="D116" s="279">
        <v>6</v>
      </c>
      <c r="E116" s="279">
        <v>10</v>
      </c>
      <c r="F116" s="249" t="s">
        <v>943</v>
      </c>
      <c r="G116" s="249" t="s">
        <v>944</v>
      </c>
      <c r="H116" s="249" t="s">
        <v>945</v>
      </c>
      <c r="I116" s="249" t="s">
        <v>946</v>
      </c>
      <c r="J116" s="252" t="s">
        <v>947</v>
      </c>
      <c r="K116" s="249" t="s">
        <v>948</v>
      </c>
      <c r="M116" s="249" t="s">
        <v>1060</v>
      </c>
      <c r="N116" s="249" t="s">
        <v>1060</v>
      </c>
      <c r="O116" s="28" t="s">
        <v>1065</v>
      </c>
    </row>
    <row r="117" spans="2:15" x14ac:dyDescent="0.15">
      <c r="B117" s="282" t="s">
        <v>492</v>
      </c>
      <c r="C117" s="300" t="s">
        <v>866</v>
      </c>
      <c r="D117" s="263"/>
      <c r="E117" s="263"/>
      <c r="F117" s="253"/>
      <c r="G117" s="253"/>
      <c r="H117" s="253"/>
      <c r="I117" s="253"/>
      <c r="J117" s="256"/>
      <c r="K117" s="253"/>
      <c r="M117" s="253"/>
      <c r="N117" s="253"/>
      <c r="O117" s="277"/>
    </row>
    <row r="118" spans="2:15" x14ac:dyDescent="0.15">
      <c r="B118" s="283"/>
      <c r="C118" s="301"/>
      <c r="D118" s="280"/>
      <c r="E118" s="280"/>
      <c r="F118" s="257"/>
      <c r="G118" s="257"/>
      <c r="H118" s="257"/>
      <c r="I118" s="257"/>
      <c r="J118" s="260"/>
      <c r="K118" s="257"/>
      <c r="M118" s="257"/>
      <c r="N118" s="257"/>
      <c r="O118" s="278"/>
    </row>
    <row r="119" spans="2:15" x14ac:dyDescent="0.15">
      <c r="B119" s="284"/>
      <c r="C119" s="302" t="s">
        <v>560</v>
      </c>
      <c r="D119" s="344">
        <v>10</v>
      </c>
      <c r="E119" s="344"/>
      <c r="F119" s="250" t="s">
        <v>949</v>
      </c>
      <c r="G119" s="250" t="s">
        <v>956</v>
      </c>
      <c r="H119" s="251" t="s">
        <v>957</v>
      </c>
      <c r="I119" s="28"/>
      <c r="J119" s="340"/>
      <c r="K119" s="28"/>
      <c r="M119" s="250" t="s">
        <v>1061</v>
      </c>
      <c r="N119" s="250" t="s">
        <v>1061</v>
      </c>
      <c r="O119" s="28"/>
    </row>
    <row r="120" spans="2:15" x14ac:dyDescent="0.15">
      <c r="B120" s="282"/>
      <c r="C120" s="300"/>
      <c r="D120" s="345"/>
      <c r="E120" s="345"/>
      <c r="F120" s="254"/>
      <c r="G120" s="254"/>
      <c r="H120" s="255"/>
      <c r="I120" s="277"/>
      <c r="J120" s="341"/>
      <c r="K120" s="277"/>
      <c r="M120" s="254"/>
      <c r="N120" s="254"/>
      <c r="O120" s="277"/>
    </row>
    <row r="121" spans="2:15" ht="14.25" thickBot="1" x14ac:dyDescent="0.2">
      <c r="B121" s="338"/>
      <c r="C121" s="479"/>
      <c r="D121" s="346"/>
      <c r="E121" s="346"/>
      <c r="F121" s="258"/>
      <c r="G121" s="258"/>
      <c r="H121" s="259"/>
      <c r="I121" s="278"/>
      <c r="J121" s="342"/>
      <c r="K121" s="278"/>
      <c r="M121" s="258"/>
      <c r="N121" s="258"/>
      <c r="O121" s="278"/>
    </row>
    <row r="122" spans="2:15" ht="14.25" thickTop="1" x14ac:dyDescent="0.15"/>
    <row r="124" spans="2:15" x14ac:dyDescent="0.15">
      <c r="B124" t="s">
        <v>734</v>
      </c>
    </row>
    <row r="125" spans="2:15" x14ac:dyDescent="0.15">
      <c r="D125">
        <v>1</v>
      </c>
      <c r="E125">
        <v>2</v>
      </c>
      <c r="F125">
        <v>3</v>
      </c>
      <c r="G125">
        <v>4</v>
      </c>
      <c r="H125">
        <v>5</v>
      </c>
      <c r="I125">
        <v>6</v>
      </c>
      <c r="J125">
        <v>7</v>
      </c>
      <c r="K125">
        <v>8</v>
      </c>
      <c r="L125">
        <v>9</v>
      </c>
      <c r="M125">
        <v>10</v>
      </c>
      <c r="N125">
        <v>11</v>
      </c>
      <c r="O125">
        <v>12</v>
      </c>
    </row>
    <row r="126" spans="2:15" ht="14.25" thickBot="1" x14ac:dyDescent="0.2">
      <c r="D126" s="57"/>
      <c r="E126" t="s">
        <v>560</v>
      </c>
    </row>
    <row r="127" spans="2:15" ht="14.25" thickBot="1" x14ac:dyDescent="0.2">
      <c r="C127" s="274" t="s">
        <v>489</v>
      </c>
      <c r="D127" t="s">
        <v>565</v>
      </c>
      <c r="E127" t="s">
        <v>490</v>
      </c>
      <c r="F127" s="748" t="s">
        <v>1100</v>
      </c>
      <c r="G127" s="748" t="s">
        <v>1101</v>
      </c>
      <c r="H127" s="748" t="s">
        <v>1102</v>
      </c>
      <c r="I127" s="248" t="s">
        <v>1186</v>
      </c>
      <c r="J127" s="248" t="s">
        <v>1187</v>
      </c>
      <c r="K127" s="749" t="s">
        <v>1103</v>
      </c>
      <c r="M127" s="297" t="s">
        <v>735</v>
      </c>
      <c r="N127" s="297" t="s">
        <v>1120</v>
      </c>
      <c r="O127" s="349" t="s">
        <v>563</v>
      </c>
    </row>
    <row r="128" spans="2:15" ht="14.25" thickTop="1" x14ac:dyDescent="0.15">
      <c r="B128" s="281"/>
      <c r="C128" s="299"/>
      <c r="D128" s="279">
        <v>1</v>
      </c>
      <c r="E128" s="279">
        <v>7</v>
      </c>
      <c r="F128" s="536" t="s">
        <v>1104</v>
      </c>
      <c r="G128" s="536"/>
      <c r="H128" s="536"/>
      <c r="I128" s="536"/>
      <c r="J128" s="582"/>
      <c r="K128" s="536"/>
      <c r="M128" s="536" t="s">
        <v>736</v>
      </c>
      <c r="N128" s="536" t="s">
        <v>1126</v>
      </c>
      <c r="O128" s="536" t="s">
        <v>491</v>
      </c>
    </row>
    <row r="129" spans="2:15" x14ac:dyDescent="0.15">
      <c r="B129" s="282"/>
      <c r="C129" s="300"/>
      <c r="D129" s="263"/>
      <c r="E129" s="263"/>
      <c r="F129" s="537"/>
      <c r="G129" s="537"/>
      <c r="H129" s="537"/>
      <c r="I129" s="537"/>
      <c r="J129" s="583"/>
      <c r="K129" s="537"/>
      <c r="M129" s="537"/>
      <c r="N129" s="537"/>
      <c r="O129" s="537"/>
    </row>
    <row r="130" spans="2:15" x14ac:dyDescent="0.15">
      <c r="B130" s="283"/>
      <c r="C130" s="301"/>
      <c r="D130" s="280"/>
      <c r="E130" s="280"/>
      <c r="F130" s="538"/>
      <c r="G130" s="537"/>
      <c r="H130" s="537"/>
      <c r="I130" s="537"/>
      <c r="J130" s="583"/>
      <c r="K130" s="537"/>
      <c r="M130" s="538"/>
      <c r="N130" s="538"/>
      <c r="O130" s="538"/>
    </row>
    <row r="131" spans="2:15" x14ac:dyDescent="0.15">
      <c r="B131" s="284">
        <v>41730</v>
      </c>
      <c r="C131" s="302">
        <v>41730</v>
      </c>
      <c r="D131" s="279">
        <v>2</v>
      </c>
      <c r="E131" s="279">
        <v>7</v>
      </c>
      <c r="F131" s="249" t="s">
        <v>1105</v>
      </c>
      <c r="G131" s="249" t="s">
        <v>1110</v>
      </c>
      <c r="H131" s="249" t="s">
        <v>1114</v>
      </c>
      <c r="I131" s="249" t="s">
        <v>1189</v>
      </c>
      <c r="J131" s="252" t="s">
        <v>1196</v>
      </c>
      <c r="K131" s="249" t="s">
        <v>1118</v>
      </c>
      <c r="M131" s="249" t="s">
        <v>737</v>
      </c>
      <c r="N131" s="249" t="s">
        <v>571</v>
      </c>
      <c r="O131" s="536" t="s">
        <v>491</v>
      </c>
    </row>
    <row r="132" spans="2:15" x14ac:dyDescent="0.15">
      <c r="B132" s="282" t="s">
        <v>492</v>
      </c>
      <c r="C132" s="300" t="s">
        <v>866</v>
      </c>
      <c r="D132" s="263"/>
      <c r="E132" s="263"/>
      <c r="F132" s="253"/>
      <c r="G132" s="253"/>
      <c r="H132" s="253"/>
      <c r="I132" s="253"/>
      <c r="J132" s="256"/>
      <c r="K132" s="253"/>
      <c r="M132" s="253"/>
      <c r="N132" s="253"/>
      <c r="O132" s="537"/>
    </row>
    <row r="133" spans="2:15" x14ac:dyDescent="0.15">
      <c r="B133" s="283">
        <v>39814</v>
      </c>
      <c r="C133" s="301">
        <v>39814</v>
      </c>
      <c r="D133" s="280"/>
      <c r="E133" s="280"/>
      <c r="F133" s="257"/>
      <c r="G133" s="257"/>
      <c r="H133" s="257"/>
      <c r="I133" s="257"/>
      <c r="J133" s="260"/>
      <c r="K133" s="257"/>
      <c r="M133" s="257"/>
      <c r="N133" s="257"/>
      <c r="O133" s="538"/>
    </row>
    <row r="134" spans="2:15" x14ac:dyDescent="0.15">
      <c r="B134" s="337"/>
      <c r="C134" s="478" t="s">
        <v>560</v>
      </c>
      <c r="D134" s="343">
        <v>7</v>
      </c>
      <c r="E134" s="343"/>
      <c r="F134" s="250" t="s">
        <v>1106</v>
      </c>
      <c r="G134" s="250" t="s">
        <v>1111</v>
      </c>
      <c r="H134" s="251" t="s">
        <v>1116</v>
      </c>
      <c r="I134" s="251" t="s">
        <v>1191</v>
      </c>
      <c r="J134" s="339"/>
      <c r="K134" s="45"/>
      <c r="M134" s="250" t="s">
        <v>740</v>
      </c>
      <c r="N134" s="506" t="s">
        <v>1126</v>
      </c>
      <c r="O134" s="536"/>
    </row>
    <row r="135" spans="2:15" x14ac:dyDescent="0.15">
      <c r="B135" s="337"/>
      <c r="C135" s="478"/>
      <c r="D135" s="343"/>
      <c r="E135" s="343"/>
      <c r="F135" s="254"/>
      <c r="G135" s="254"/>
      <c r="H135" s="255"/>
      <c r="I135" s="255"/>
      <c r="J135" s="339"/>
      <c r="K135" s="45"/>
      <c r="M135" s="254"/>
      <c r="N135" s="508"/>
      <c r="O135" s="537"/>
    </row>
    <row r="136" spans="2:15" x14ac:dyDescent="0.15">
      <c r="B136" s="337"/>
      <c r="C136" s="478"/>
      <c r="D136" s="343"/>
      <c r="E136" s="343"/>
      <c r="F136" s="258"/>
      <c r="G136" s="258"/>
      <c r="H136" s="259"/>
      <c r="I136" s="259"/>
      <c r="J136" s="339"/>
      <c r="K136" s="45"/>
      <c r="M136" s="258"/>
      <c r="N136" s="510"/>
      <c r="O136" s="538"/>
    </row>
    <row r="137" spans="2:15" x14ac:dyDescent="0.15">
      <c r="B137" s="284">
        <v>39813</v>
      </c>
      <c r="C137" s="302">
        <v>39813</v>
      </c>
      <c r="D137" s="279">
        <v>3</v>
      </c>
      <c r="E137" s="279">
        <v>8</v>
      </c>
      <c r="F137" s="249" t="s">
        <v>1107</v>
      </c>
      <c r="G137" s="249" t="s">
        <v>1112</v>
      </c>
      <c r="H137" s="249" t="s">
        <v>1115</v>
      </c>
      <c r="I137" s="249" t="s">
        <v>1193</v>
      </c>
      <c r="J137" s="252" t="s">
        <v>1197</v>
      </c>
      <c r="K137" s="249" t="s">
        <v>1119</v>
      </c>
      <c r="M137" s="249" t="s">
        <v>738</v>
      </c>
      <c r="N137" s="249" t="s">
        <v>572</v>
      </c>
      <c r="O137" s="536" t="s">
        <v>493</v>
      </c>
    </row>
    <row r="138" spans="2:15" x14ac:dyDescent="0.15">
      <c r="B138" s="282" t="s">
        <v>492</v>
      </c>
      <c r="C138" s="300"/>
      <c r="D138" s="263"/>
      <c r="E138" s="263"/>
      <c r="F138" s="253"/>
      <c r="G138" s="253"/>
      <c r="H138" s="253"/>
      <c r="I138" s="253"/>
      <c r="J138" s="256"/>
      <c r="K138" s="253"/>
      <c r="M138" s="253"/>
      <c r="N138" s="253"/>
      <c r="O138" s="537"/>
    </row>
    <row r="139" spans="2:15" x14ac:dyDescent="0.15">
      <c r="B139" s="283"/>
      <c r="C139" s="301"/>
      <c r="D139" s="280"/>
      <c r="E139" s="280"/>
      <c r="F139" s="257"/>
      <c r="G139" s="257"/>
      <c r="H139" s="257"/>
      <c r="I139" s="257"/>
      <c r="J139" s="260"/>
      <c r="K139" s="257"/>
      <c r="M139" s="257"/>
      <c r="N139" s="257"/>
      <c r="O139" s="538"/>
    </row>
    <row r="140" spans="2:15" x14ac:dyDescent="0.15">
      <c r="B140" s="284"/>
      <c r="C140" s="302"/>
      <c r="D140" s="279">
        <v>4</v>
      </c>
      <c r="E140" s="279">
        <v>8</v>
      </c>
      <c r="F140" s="536" t="s">
        <v>1108</v>
      </c>
      <c r="G140" s="536"/>
      <c r="H140" s="536"/>
      <c r="I140" s="536"/>
      <c r="J140" s="582"/>
      <c r="K140" s="536"/>
      <c r="M140" s="536" t="s">
        <v>739</v>
      </c>
      <c r="N140" s="536" t="s">
        <v>1127</v>
      </c>
      <c r="O140" s="536" t="s">
        <v>494</v>
      </c>
    </row>
    <row r="141" spans="2:15" x14ac:dyDescent="0.15">
      <c r="B141" s="282"/>
      <c r="C141" s="300"/>
      <c r="D141" s="263"/>
      <c r="E141" s="263"/>
      <c r="F141" s="537"/>
      <c r="G141" s="537"/>
      <c r="H141" s="537"/>
      <c r="I141" s="537"/>
      <c r="J141" s="583"/>
      <c r="K141" s="537"/>
      <c r="M141" s="537"/>
      <c r="N141" s="537"/>
      <c r="O141" s="537"/>
    </row>
    <row r="142" spans="2:15" x14ac:dyDescent="0.15">
      <c r="B142" s="283"/>
      <c r="C142" s="301"/>
      <c r="D142" s="280"/>
      <c r="E142" s="280"/>
      <c r="F142" s="538"/>
      <c r="G142" s="538"/>
      <c r="H142" s="538"/>
      <c r="I142" s="538"/>
      <c r="J142" s="584"/>
      <c r="K142" s="538"/>
      <c r="M142" s="538"/>
      <c r="N142" s="538"/>
      <c r="O142" s="538"/>
    </row>
    <row r="143" spans="2:15" x14ac:dyDescent="0.15">
      <c r="B143" s="337"/>
      <c r="C143" s="478" t="s">
        <v>560</v>
      </c>
      <c r="D143" s="343">
        <v>8</v>
      </c>
      <c r="E143" s="343"/>
      <c r="F143" s="250" t="s">
        <v>1109</v>
      </c>
      <c r="G143" s="250" t="s">
        <v>1113</v>
      </c>
      <c r="H143" s="251" t="s">
        <v>1117</v>
      </c>
      <c r="I143" s="251" t="s">
        <v>1195</v>
      </c>
      <c r="J143" s="339"/>
      <c r="K143" s="45"/>
      <c r="M143" s="250" t="s">
        <v>741</v>
      </c>
      <c r="N143" s="506" t="s">
        <v>1127</v>
      </c>
      <c r="O143" s="536"/>
    </row>
    <row r="144" spans="2:15" x14ac:dyDescent="0.15">
      <c r="B144" s="337"/>
      <c r="C144" s="478"/>
      <c r="D144" s="343"/>
      <c r="E144" s="343"/>
      <c r="F144" s="254"/>
      <c r="G144" s="254"/>
      <c r="H144" s="255"/>
      <c r="I144" s="255"/>
      <c r="J144" s="339"/>
      <c r="K144" s="45"/>
      <c r="M144" s="254"/>
      <c r="N144" s="508"/>
      <c r="O144" s="537"/>
    </row>
    <row r="145" spans="2:15" x14ac:dyDescent="0.15">
      <c r="B145" s="337"/>
      <c r="C145" s="478"/>
      <c r="D145" s="343"/>
      <c r="E145" s="343"/>
      <c r="F145" s="258"/>
      <c r="G145" s="258"/>
      <c r="H145" s="259"/>
      <c r="I145" s="259"/>
      <c r="J145" s="339"/>
      <c r="K145" s="45"/>
      <c r="M145" s="258"/>
      <c r="N145" s="510"/>
      <c r="O145" s="538"/>
    </row>
    <row r="146" spans="2:15" hidden="1" x14ac:dyDescent="0.15">
      <c r="B146" s="284">
        <v>37986</v>
      </c>
      <c r="C146" s="302">
        <v>37986</v>
      </c>
      <c r="D146" s="279">
        <v>5</v>
      </c>
      <c r="E146" s="279">
        <v>9</v>
      </c>
      <c r="F146" s="249" t="s">
        <v>524</v>
      </c>
      <c r="G146" s="249" t="s">
        <v>525</v>
      </c>
      <c r="H146" s="249" t="s">
        <v>526</v>
      </c>
      <c r="I146" s="249" t="s">
        <v>528</v>
      </c>
      <c r="J146" s="252" t="s">
        <v>529</v>
      </c>
      <c r="K146" s="249" t="s">
        <v>527</v>
      </c>
      <c r="M146" s="249" t="s">
        <v>495</v>
      </c>
      <c r="N146" s="249" t="s">
        <v>495</v>
      </c>
      <c r="O146" s="28" t="s">
        <v>497</v>
      </c>
    </row>
    <row r="147" spans="2:15" hidden="1" x14ac:dyDescent="0.15">
      <c r="B147" s="282" t="s">
        <v>492</v>
      </c>
      <c r="C147" s="300"/>
      <c r="D147" s="263"/>
      <c r="E147" s="263"/>
      <c r="F147" s="253"/>
      <c r="G147" s="253"/>
      <c r="H147" s="253"/>
      <c r="I147" s="253"/>
      <c r="J147" s="256"/>
      <c r="K147" s="253"/>
      <c r="M147" s="253"/>
      <c r="N147" s="253"/>
      <c r="O147" s="277"/>
    </row>
    <row r="148" spans="2:15" hidden="1" x14ac:dyDescent="0.15">
      <c r="B148" s="283">
        <v>36526</v>
      </c>
      <c r="C148" s="301">
        <v>36526</v>
      </c>
      <c r="D148" s="280"/>
      <c r="E148" s="280"/>
      <c r="F148" s="257"/>
      <c r="G148" s="257"/>
      <c r="H148" s="257"/>
      <c r="I148" s="257"/>
      <c r="J148" s="260"/>
      <c r="K148" s="257"/>
      <c r="M148" s="257"/>
      <c r="N148" s="257"/>
      <c r="O148" s="278"/>
    </row>
    <row r="149" spans="2:15" hidden="1" x14ac:dyDescent="0.15">
      <c r="B149" s="284">
        <v>36525</v>
      </c>
      <c r="C149" s="302">
        <v>36525</v>
      </c>
      <c r="D149" s="279">
        <v>6</v>
      </c>
      <c r="E149" s="279">
        <v>9</v>
      </c>
      <c r="F149" s="249" t="s">
        <v>530</v>
      </c>
      <c r="G149" s="249" t="s">
        <v>531</v>
      </c>
      <c r="H149" s="249" t="s">
        <v>532</v>
      </c>
      <c r="I149" s="249" t="s">
        <v>534</v>
      </c>
      <c r="J149" s="252" t="s">
        <v>535</v>
      </c>
      <c r="K149" s="249" t="s">
        <v>533</v>
      </c>
      <c r="M149" s="249" t="s">
        <v>498</v>
      </c>
      <c r="N149" s="249" t="s">
        <v>498</v>
      </c>
      <c r="O149" s="28" t="s">
        <v>499</v>
      </c>
    </row>
    <row r="150" spans="2:15" hidden="1" x14ac:dyDescent="0.15">
      <c r="B150" s="282" t="s">
        <v>492</v>
      </c>
      <c r="C150" s="300"/>
      <c r="D150" s="263"/>
      <c r="E150" s="263"/>
      <c r="F150" s="253"/>
      <c r="G150" s="253"/>
      <c r="H150" s="253"/>
      <c r="I150" s="253"/>
      <c r="J150" s="256"/>
      <c r="K150" s="253"/>
      <c r="M150" s="253"/>
      <c r="N150" s="253"/>
      <c r="O150" s="277"/>
    </row>
    <row r="151" spans="2:15" hidden="1" x14ac:dyDescent="0.15">
      <c r="B151" s="283"/>
      <c r="C151" s="301"/>
      <c r="D151" s="280"/>
      <c r="E151" s="280"/>
      <c r="F151" s="257"/>
      <c r="G151" s="257"/>
      <c r="H151" s="257"/>
      <c r="I151" s="257"/>
      <c r="J151" s="260"/>
      <c r="K151" s="257"/>
      <c r="M151" s="257"/>
      <c r="N151" s="257"/>
      <c r="O151" s="278"/>
    </row>
    <row r="152" spans="2:15" hidden="1" x14ac:dyDescent="0.15">
      <c r="B152" s="284"/>
      <c r="C152" s="302" t="s">
        <v>560</v>
      </c>
      <c r="D152" s="344">
        <v>9</v>
      </c>
      <c r="E152" s="344"/>
      <c r="F152" s="250" t="s">
        <v>536</v>
      </c>
      <c r="G152" s="506" t="s">
        <v>537</v>
      </c>
      <c r="H152" s="507" t="s">
        <v>538</v>
      </c>
      <c r="I152" s="28"/>
      <c r="J152" s="340"/>
      <c r="K152" s="28"/>
      <c r="M152" s="250" t="s">
        <v>496</v>
      </c>
      <c r="N152" s="506" t="s">
        <v>496</v>
      </c>
      <c r="O152" s="28"/>
    </row>
    <row r="153" spans="2:15" hidden="1" x14ac:dyDescent="0.15">
      <c r="B153" s="282"/>
      <c r="C153" s="300"/>
      <c r="D153" s="345"/>
      <c r="E153" s="345"/>
      <c r="F153" s="254"/>
      <c r="G153" s="508"/>
      <c r="H153" s="509"/>
      <c r="I153" s="277"/>
      <c r="J153" s="341"/>
      <c r="K153" s="277"/>
      <c r="M153" s="254"/>
      <c r="N153" s="508"/>
      <c r="O153" s="277"/>
    </row>
    <row r="154" spans="2:15" ht="14.25" hidden="1" thickBot="1" x14ac:dyDescent="0.2">
      <c r="B154" s="338"/>
      <c r="C154" s="479"/>
      <c r="D154" s="346"/>
      <c r="E154" s="346"/>
      <c r="F154" s="258"/>
      <c r="G154" s="510"/>
      <c r="H154" s="511"/>
      <c r="I154" s="278"/>
      <c r="J154" s="342"/>
      <c r="K154" s="278"/>
      <c r="M154" s="258"/>
      <c r="N154" s="510"/>
      <c r="O154" s="278"/>
    </row>
  </sheetData>
  <mergeCells count="11">
    <mergeCell ref="S45:U45"/>
    <mergeCell ref="M45:O45"/>
    <mergeCell ref="P45:R45"/>
    <mergeCell ref="D45:G45"/>
    <mergeCell ref="H45:J45"/>
    <mergeCell ref="K45:L45"/>
    <mergeCell ref="E9:I9"/>
    <mergeCell ref="E10:I10"/>
    <mergeCell ref="E11:I11"/>
    <mergeCell ref="E12:I12"/>
    <mergeCell ref="E13:I13"/>
  </mergeCells>
  <phoneticPr fontId="3"/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T73"/>
  <sheetViews>
    <sheetView workbookViewId="0">
      <selection activeCell="D3" sqref="D3:J54"/>
    </sheetView>
  </sheetViews>
  <sheetFormatPr defaultColWidth="9" defaultRowHeight="13.5" x14ac:dyDescent="0.15"/>
  <cols>
    <col min="1" max="1" width="9" style="155"/>
    <col min="2" max="2" width="10.75" style="155" bestFit="1" customWidth="1"/>
    <col min="3" max="7" width="9" style="155"/>
    <col min="8" max="8" width="11.375" style="155" bestFit="1" customWidth="1"/>
    <col min="9" max="9" width="9" style="155"/>
    <col min="10" max="10" width="9" style="156"/>
    <col min="11" max="11" width="15.625" style="157" bestFit="1" customWidth="1"/>
    <col min="12" max="12" width="14.625" style="155" bestFit="1" customWidth="1"/>
    <col min="13" max="22" width="9" style="155"/>
    <col min="23" max="25" width="9" style="158"/>
    <col min="26" max="26" width="9" style="155"/>
    <col min="27" max="35" width="9" style="158"/>
    <col min="36" max="36" width="15.5" style="158" customWidth="1"/>
    <col min="37" max="37" width="12.875" style="158" customWidth="1"/>
    <col min="38" max="16384" width="9" style="158"/>
  </cols>
  <sheetData>
    <row r="1" spans="1:46" ht="17.25" customHeight="1" x14ac:dyDescent="0.15">
      <c r="B1" s="154"/>
      <c r="G1" s="210" t="e">
        <f>団体情報・入力の仕方!#REF!</f>
        <v>#REF!</v>
      </c>
      <c r="H1" s="211"/>
      <c r="I1" s="212">
        <f>団体情報・入力の仕方!H3</f>
        <v>0</v>
      </c>
      <c r="J1" s="212"/>
      <c r="K1" s="213"/>
      <c r="L1" s="214" t="s">
        <v>0</v>
      </c>
      <c r="M1" s="217" t="s">
        <v>460</v>
      </c>
      <c r="N1" s="220" t="s">
        <v>314</v>
      </c>
      <c r="O1" s="221"/>
      <c r="P1" s="221"/>
      <c r="Q1" s="221"/>
      <c r="R1" s="221"/>
      <c r="S1" s="222"/>
      <c r="T1" s="234"/>
      <c r="U1" s="233" t="s">
        <v>50</v>
      </c>
      <c r="V1" s="234"/>
      <c r="W1" s="234"/>
      <c r="X1" s="234"/>
      <c r="Y1" s="234"/>
      <c r="Z1" s="234"/>
      <c r="AA1" s="235"/>
      <c r="AB1" s="217"/>
      <c r="AC1" s="238" t="s">
        <v>150</v>
      </c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8"/>
    </row>
    <row r="2" spans="1:46" ht="17.25" x14ac:dyDescent="0.15">
      <c r="A2" s="155" t="s">
        <v>370</v>
      </c>
      <c r="B2" s="155" t="s">
        <v>35</v>
      </c>
      <c r="C2" s="155" t="s">
        <v>368</v>
      </c>
      <c r="D2" s="155" t="s">
        <v>369</v>
      </c>
      <c r="E2" s="155" t="s">
        <v>34</v>
      </c>
      <c r="F2" s="155" t="s">
        <v>370</v>
      </c>
      <c r="G2" s="27" t="s">
        <v>473</v>
      </c>
      <c r="H2" s="28" t="s">
        <v>64</v>
      </c>
      <c r="I2" s="28" t="s">
        <v>384</v>
      </c>
      <c r="J2" s="28" t="s">
        <v>18</v>
      </c>
      <c r="K2" s="225" t="s">
        <v>65</v>
      </c>
      <c r="L2" s="215"/>
      <c r="M2" s="218"/>
      <c r="N2" s="227" t="s">
        <v>146</v>
      </c>
      <c r="O2" s="228"/>
      <c r="P2" s="228"/>
      <c r="Q2" s="229"/>
      <c r="R2" s="227" t="s">
        <v>51</v>
      </c>
      <c r="S2" s="230"/>
      <c r="T2" s="232"/>
      <c r="U2" s="236"/>
      <c r="V2" s="232"/>
      <c r="W2" s="232"/>
      <c r="X2" s="232"/>
      <c r="Y2" s="232"/>
      <c r="Z2" s="232"/>
      <c r="AA2" s="237"/>
      <c r="AB2" s="218"/>
      <c r="AC2" s="239"/>
      <c r="AD2" s="231"/>
      <c r="AE2" s="231"/>
      <c r="AF2" s="231"/>
      <c r="AG2" s="231"/>
      <c r="AH2" s="231"/>
      <c r="AI2" s="231"/>
      <c r="AJ2" s="231"/>
      <c r="AK2" s="231"/>
      <c r="AL2" s="231"/>
      <c r="AM2" s="204" t="s">
        <v>151</v>
      </c>
      <c r="AN2" s="205"/>
    </row>
    <row r="3" spans="1:46" ht="14.25" thickBot="1" x14ac:dyDescent="0.2">
      <c r="G3" s="223"/>
      <c r="H3" s="224"/>
      <c r="I3" s="224"/>
      <c r="J3" s="224"/>
      <c r="K3" s="226"/>
      <c r="L3" s="216"/>
      <c r="M3" s="219"/>
      <c r="N3" s="42" t="s">
        <v>41</v>
      </c>
      <c r="O3" s="21" t="s">
        <v>43</v>
      </c>
      <c r="P3" s="21" t="s">
        <v>45</v>
      </c>
      <c r="Q3" s="42" t="s">
        <v>47</v>
      </c>
      <c r="R3" s="21" t="s">
        <v>43</v>
      </c>
      <c r="S3" s="48" t="s">
        <v>45</v>
      </c>
      <c r="T3" s="392"/>
      <c r="U3" s="50" t="s">
        <v>16</v>
      </c>
      <c r="V3" s="31" t="s">
        <v>19</v>
      </c>
      <c r="W3" s="147" t="s">
        <v>53</v>
      </c>
      <c r="X3" s="119" t="s">
        <v>31</v>
      </c>
      <c r="Y3" s="31" t="s">
        <v>148</v>
      </c>
      <c r="Z3" s="207" t="s">
        <v>32</v>
      </c>
      <c r="AA3" s="206"/>
      <c r="AB3" s="219"/>
      <c r="AC3" s="22" t="s">
        <v>653</v>
      </c>
      <c r="AD3" s="20" t="s">
        <v>652</v>
      </c>
      <c r="AE3" s="21" t="s">
        <v>654</v>
      </c>
      <c r="AF3" s="22" t="s">
        <v>652</v>
      </c>
      <c r="AG3" s="22" t="s">
        <v>655</v>
      </c>
      <c r="AH3" s="207" t="s">
        <v>652</v>
      </c>
      <c r="AI3" s="208" t="s">
        <v>636</v>
      </c>
      <c r="AJ3" s="240" t="s">
        <v>652</v>
      </c>
      <c r="AK3" s="241" t="s">
        <v>638</v>
      </c>
      <c r="AL3" s="209" t="s">
        <v>652</v>
      </c>
      <c r="AM3" s="21" t="s">
        <v>656</v>
      </c>
      <c r="AN3" s="23"/>
      <c r="AO3" s="158" t="s">
        <v>652</v>
      </c>
      <c r="AP3" s="158" t="s">
        <v>657</v>
      </c>
      <c r="AQ3" s="158" t="s">
        <v>658</v>
      </c>
      <c r="AR3" s="158" t="s">
        <v>67</v>
      </c>
      <c r="AS3" s="158" t="s">
        <v>68</v>
      </c>
    </row>
    <row r="4" spans="1:46" ht="14.25" thickTop="1" x14ac:dyDescent="0.15">
      <c r="A4" s="155">
        <v>1</v>
      </c>
      <c r="B4" s="155">
        <f>団体情報・入力の仕方!$C$3</f>
        <v>0</v>
      </c>
      <c r="C4" s="155" t="e">
        <f>TEXT(RIGHT(団体情報・入力の仕方!$G$3,3),"#")*1</f>
        <v>#VALUE!</v>
      </c>
      <c r="F4" s="155" t="str">
        <f>入力シート!$B$12</f>
        <v/>
      </c>
      <c r="H4" s="155">
        <f>入力シート!$D$12</f>
        <v>0</v>
      </c>
      <c r="I4" s="155">
        <f>入力シート!$E$12</f>
        <v>0</v>
      </c>
      <c r="J4" s="155">
        <f>入力シート!$F$12</f>
        <v>0</v>
      </c>
      <c r="K4" s="157">
        <f>入力シート!$G$12</f>
        <v>0</v>
      </c>
      <c r="L4" s="19"/>
      <c r="M4" s="156" t="str">
        <f>入力シート!$I$12</f>
        <v/>
      </c>
      <c r="N4" s="156">
        <f>入力シート!$J$12</f>
        <v>0</v>
      </c>
      <c r="O4" s="156">
        <f>入力シート!$K$12</f>
        <v>0</v>
      </c>
      <c r="P4" s="156">
        <f>入力シート!$L$12</f>
        <v>0</v>
      </c>
      <c r="Q4" s="156">
        <f>入力シート!$M$12</f>
        <v>0</v>
      </c>
      <c r="R4" s="156">
        <f>入力シート!$N$12</f>
        <v>0</v>
      </c>
      <c r="S4" s="156">
        <f>入力シート!$O$12</f>
        <v>0</v>
      </c>
      <c r="T4" s="156">
        <f>入力シート!$P$12</f>
        <v>0</v>
      </c>
      <c r="U4" s="242">
        <f>入力シート!$Q$12</f>
        <v>0</v>
      </c>
      <c r="V4" s="242">
        <f>入力シート!$R$12</f>
        <v>0</v>
      </c>
      <c r="W4" s="242">
        <f>入力シート!$S$12</f>
        <v>0</v>
      </c>
      <c r="X4" s="242">
        <f>入力シート!$T$12</f>
        <v>0</v>
      </c>
      <c r="Y4" s="242">
        <f>入力シート!$U$12</f>
        <v>0</v>
      </c>
      <c r="Z4" s="242">
        <f>入力シート!$V$12</f>
        <v>0</v>
      </c>
      <c r="AA4" s="242">
        <f>入力シート!$W$12</f>
        <v>0</v>
      </c>
      <c r="AB4" s="156">
        <f>入力シート!$X$12</f>
        <v>0</v>
      </c>
      <c r="AC4" s="156">
        <f>入力シート!$Y$12</f>
        <v>0</v>
      </c>
      <c r="AD4" s="156" t="str">
        <f>入力シート!$Z$12</f>
        <v/>
      </c>
      <c r="AE4" s="156">
        <f>入力シート!$AA$12</f>
        <v>0</v>
      </c>
      <c r="AF4" s="156" t="str">
        <f>入力シート!$AB$12</f>
        <v/>
      </c>
      <c r="AG4" s="156">
        <f>入力シート!$AC$12</f>
        <v>0</v>
      </c>
      <c r="AH4" s="156" t="str">
        <f>入力シート!$AD$12</f>
        <v/>
      </c>
      <c r="AI4" s="156">
        <f>入力シート!$AE$12</f>
        <v>0</v>
      </c>
      <c r="AJ4" s="156" t="str">
        <f>入力シート!$AF$12</f>
        <v/>
      </c>
      <c r="AK4" s="155">
        <f>入力シート!$AG$12</f>
        <v>0</v>
      </c>
      <c r="AL4" s="155" t="str">
        <f>入力シート!$AH$12</f>
        <v/>
      </c>
      <c r="AM4" s="155">
        <f>入力シート!$AI$12</f>
        <v>0</v>
      </c>
      <c r="AN4" s="158">
        <f>入力シート!$AJ$12</f>
        <v>0</v>
      </c>
      <c r="AO4" s="155" t="str">
        <f>入力シート!$AK$12</f>
        <v/>
      </c>
      <c r="AP4" s="158">
        <f>入力シート!$AR$12</f>
        <v>0</v>
      </c>
      <c r="AQ4" s="158">
        <f>入力シート!$AV$12</f>
        <v>0</v>
      </c>
      <c r="AR4" s="158">
        <f>入力シート!$AW$12</f>
        <v>0</v>
      </c>
      <c r="AS4" s="155">
        <f>入力シート!$BF$12</f>
        <v>0</v>
      </c>
      <c r="AT4" s="155">
        <f>入力シート!$BG$12</f>
        <v>0</v>
      </c>
    </row>
    <row r="5" spans="1:46" x14ac:dyDescent="0.15">
      <c r="A5" s="155">
        <v>2</v>
      </c>
      <c r="F5" s="155" t="str">
        <f>入力シート!$B$13</f>
        <v/>
      </c>
      <c r="H5" s="155">
        <f>入力シート!$D$13</f>
        <v>0</v>
      </c>
      <c r="I5" s="155">
        <f>入力シート!$E$13</f>
        <v>0</v>
      </c>
      <c r="J5" s="155">
        <f>入力シート!$F$13</f>
        <v>0</v>
      </c>
      <c r="K5" s="157">
        <f>入力シート!$G$13</f>
        <v>0</v>
      </c>
      <c r="L5" s="19"/>
      <c r="M5" s="156" t="str">
        <f>入力シート!$I$13</f>
        <v/>
      </c>
      <c r="N5" s="156">
        <f>入力シート!$J$13</f>
        <v>0</v>
      </c>
      <c r="O5" s="156">
        <f>入力シート!$K$13</f>
        <v>0</v>
      </c>
      <c r="P5" s="156">
        <f>入力シート!$L$13</f>
        <v>0</v>
      </c>
      <c r="Q5" s="156">
        <f>入力シート!$M$13</f>
        <v>0</v>
      </c>
      <c r="R5" s="156">
        <f>入力シート!$N$13</f>
        <v>0</v>
      </c>
      <c r="S5" s="156">
        <f>入力シート!$O$13</f>
        <v>0</v>
      </c>
      <c r="T5" s="156">
        <f>入力シート!$P$13</f>
        <v>0</v>
      </c>
      <c r="U5" s="242">
        <f>入力シート!$Q$13</f>
        <v>0</v>
      </c>
      <c r="V5" s="242">
        <f>入力シート!$R$13</f>
        <v>0</v>
      </c>
      <c r="W5" s="242">
        <f>入力シート!$S$13</f>
        <v>0</v>
      </c>
      <c r="X5" s="242">
        <f>入力シート!$T$13</f>
        <v>0</v>
      </c>
      <c r="Y5" s="242">
        <f>入力シート!$U$13</f>
        <v>0</v>
      </c>
      <c r="Z5" s="242">
        <f>入力シート!$V$13</f>
        <v>0</v>
      </c>
      <c r="AA5" s="242">
        <f>入力シート!$W$13</f>
        <v>0</v>
      </c>
      <c r="AB5" s="156">
        <f>入力シート!$X$13</f>
        <v>0</v>
      </c>
      <c r="AC5" s="156">
        <f>入力シート!$Y$13</f>
        <v>0</v>
      </c>
      <c r="AD5" s="156" t="str">
        <f>入力シート!$Z$13</f>
        <v/>
      </c>
      <c r="AE5" s="156">
        <f>入力シート!$AA$13</f>
        <v>0</v>
      </c>
      <c r="AF5" s="156" t="str">
        <f>入力シート!$AB$13</f>
        <v/>
      </c>
      <c r="AG5" s="156">
        <f>入力シート!$AC$13</f>
        <v>0</v>
      </c>
      <c r="AH5" s="156" t="str">
        <f>入力シート!$AD$13</f>
        <v/>
      </c>
      <c r="AI5" s="156">
        <f>入力シート!$AE$13</f>
        <v>0</v>
      </c>
      <c r="AJ5" s="156" t="str">
        <f>入力シート!$AF$13</f>
        <v/>
      </c>
      <c r="AK5" s="155">
        <f>入力シート!$AG$13</f>
        <v>0</v>
      </c>
      <c r="AL5" s="155" t="str">
        <f>入力シート!$AH$13</f>
        <v/>
      </c>
      <c r="AM5" s="155">
        <f>入力シート!$AI$13</f>
        <v>0</v>
      </c>
      <c r="AN5" s="158">
        <f>入力シート!$AJ$13</f>
        <v>0</v>
      </c>
      <c r="AO5" s="155" t="str">
        <f>入力シート!$AK$13</f>
        <v/>
      </c>
      <c r="AP5" s="158">
        <f>入力シート!$AR$13</f>
        <v>0</v>
      </c>
      <c r="AQ5" s="158">
        <f>入力シート!$AV$13</f>
        <v>0</v>
      </c>
      <c r="AR5" s="158">
        <f>入力シート!$AW$13</f>
        <v>0</v>
      </c>
      <c r="AS5" s="155">
        <f>入力シート!$BF$13</f>
        <v>0</v>
      </c>
      <c r="AT5" s="155">
        <f>入力シート!$BG$13</f>
        <v>0</v>
      </c>
    </row>
    <row r="6" spans="1:46" x14ac:dyDescent="0.15">
      <c r="A6" s="155">
        <v>3</v>
      </c>
      <c r="F6" s="155" t="str">
        <f>入力シート!$B$14</f>
        <v/>
      </c>
      <c r="H6" s="155">
        <f>入力シート!$D$14</f>
        <v>0</v>
      </c>
      <c r="I6" s="155">
        <f>入力シート!$E$14</f>
        <v>0</v>
      </c>
      <c r="J6" s="155">
        <f>入力シート!$F$14</f>
        <v>0</v>
      </c>
      <c r="K6" s="157">
        <f>入力シート!$G$14</f>
        <v>0</v>
      </c>
      <c r="L6" s="19"/>
      <c r="M6" s="156" t="str">
        <f>入力シート!$I$14</f>
        <v/>
      </c>
      <c r="N6" s="156">
        <f>入力シート!$J$14</f>
        <v>0</v>
      </c>
      <c r="O6" s="156">
        <f>入力シート!$K$14</f>
        <v>0</v>
      </c>
      <c r="P6" s="156">
        <f>入力シート!$L$14</f>
        <v>0</v>
      </c>
      <c r="Q6" s="156">
        <f>入力シート!$M$14</f>
        <v>0</v>
      </c>
      <c r="R6" s="156">
        <f>入力シート!$N$14</f>
        <v>0</v>
      </c>
      <c r="S6" s="156">
        <f>入力シート!$O$14</f>
        <v>0</v>
      </c>
      <c r="T6" s="156">
        <f>入力シート!$P$14</f>
        <v>0</v>
      </c>
      <c r="U6" s="242">
        <f>入力シート!$Q$14</f>
        <v>0</v>
      </c>
      <c r="V6" s="242">
        <f>入力シート!$R$14</f>
        <v>0</v>
      </c>
      <c r="W6" s="242">
        <f>入力シート!$S$14</f>
        <v>0</v>
      </c>
      <c r="X6" s="242">
        <f>入力シート!$T$14</f>
        <v>0</v>
      </c>
      <c r="Y6" s="242">
        <f>入力シート!$U$14</f>
        <v>0</v>
      </c>
      <c r="Z6" s="242">
        <f>入力シート!$V$14</f>
        <v>0</v>
      </c>
      <c r="AA6" s="242">
        <f>入力シート!$W$14</f>
        <v>0</v>
      </c>
      <c r="AB6" s="156">
        <f>入力シート!$X$14</f>
        <v>0</v>
      </c>
      <c r="AC6" s="156">
        <f>入力シート!$Y$14</f>
        <v>0</v>
      </c>
      <c r="AD6" s="156" t="str">
        <f>入力シート!$Z$14</f>
        <v/>
      </c>
      <c r="AE6" s="156">
        <f>入力シート!$AA$14</f>
        <v>0</v>
      </c>
      <c r="AF6" s="156" t="str">
        <f>入力シート!$AB$14</f>
        <v/>
      </c>
      <c r="AG6" s="156">
        <f>入力シート!$AC$14</f>
        <v>0</v>
      </c>
      <c r="AH6" s="156" t="str">
        <f>入力シート!$AD$14</f>
        <v/>
      </c>
      <c r="AI6" s="156">
        <f>入力シート!$AE$14</f>
        <v>0</v>
      </c>
      <c r="AJ6" s="156" t="str">
        <f>入力シート!$AF$14</f>
        <v/>
      </c>
      <c r="AK6" s="155">
        <f>入力シート!$AG$14</f>
        <v>0</v>
      </c>
      <c r="AL6" s="155" t="str">
        <f>入力シート!$AH$14</f>
        <v/>
      </c>
      <c r="AM6" s="155">
        <f>入力シート!$AI$14</f>
        <v>0</v>
      </c>
      <c r="AN6" s="158">
        <f>入力シート!$AJ$14</f>
        <v>0</v>
      </c>
      <c r="AO6" s="155" t="str">
        <f>入力シート!$AK$14</f>
        <v/>
      </c>
      <c r="AP6" s="158">
        <f>入力シート!$AR$14</f>
        <v>0</v>
      </c>
      <c r="AQ6" s="158">
        <f>入力シート!$AV$14</f>
        <v>0</v>
      </c>
      <c r="AR6" s="158">
        <f>入力シート!$AW$14</f>
        <v>0</v>
      </c>
      <c r="AS6" s="155">
        <f>入力シート!$BF$14</f>
        <v>0</v>
      </c>
      <c r="AT6" s="155">
        <f>入力シート!$BG$14</f>
        <v>0</v>
      </c>
    </row>
    <row r="7" spans="1:46" x14ac:dyDescent="0.15">
      <c r="A7" s="155">
        <v>4</v>
      </c>
      <c r="F7" s="155" t="str">
        <f>入力シート!$B$15</f>
        <v/>
      </c>
      <c r="H7" s="155">
        <f>入力シート!$D$15</f>
        <v>0</v>
      </c>
      <c r="I7" s="155">
        <f>入力シート!$E$15</f>
        <v>0</v>
      </c>
      <c r="J7" s="155">
        <f>入力シート!$F$15</f>
        <v>0</v>
      </c>
      <c r="K7" s="157">
        <f>入力シート!$G$15</f>
        <v>0</v>
      </c>
      <c r="L7" s="19"/>
      <c r="M7" s="156" t="str">
        <f>入力シート!$I$15</f>
        <v/>
      </c>
      <c r="N7" s="156">
        <f>入力シート!$J$15</f>
        <v>0</v>
      </c>
      <c r="O7" s="156">
        <f>入力シート!$K$15</f>
        <v>0</v>
      </c>
      <c r="P7" s="156">
        <f>入力シート!$L$15</f>
        <v>0</v>
      </c>
      <c r="Q7" s="156">
        <f>入力シート!$M$15</f>
        <v>0</v>
      </c>
      <c r="R7" s="156">
        <f>入力シート!$N$15</f>
        <v>0</v>
      </c>
      <c r="S7" s="156">
        <f>入力シート!$O$15</f>
        <v>0</v>
      </c>
      <c r="T7" s="156">
        <f>入力シート!$P$15</f>
        <v>0</v>
      </c>
      <c r="U7" s="242">
        <f>入力シート!$Q$15</f>
        <v>0</v>
      </c>
      <c r="V7" s="242">
        <f>入力シート!$R$15</f>
        <v>0</v>
      </c>
      <c r="W7" s="242">
        <f>入力シート!$S$15</f>
        <v>0</v>
      </c>
      <c r="X7" s="242">
        <f>入力シート!$T$15</f>
        <v>0</v>
      </c>
      <c r="Y7" s="242">
        <f>入力シート!$U$15</f>
        <v>0</v>
      </c>
      <c r="Z7" s="242">
        <f>入力シート!$V$15</f>
        <v>0</v>
      </c>
      <c r="AA7" s="242">
        <f>入力シート!$W$15</f>
        <v>0</v>
      </c>
      <c r="AB7" s="156">
        <f>入力シート!$X$15</f>
        <v>0</v>
      </c>
      <c r="AC7" s="156">
        <f>入力シート!$Y$15</f>
        <v>0</v>
      </c>
      <c r="AD7" s="156" t="str">
        <f>入力シート!$Z$15</f>
        <v/>
      </c>
      <c r="AE7" s="156">
        <f>入力シート!$AA$15</f>
        <v>0</v>
      </c>
      <c r="AF7" s="156" t="str">
        <f>入力シート!$AB$15</f>
        <v/>
      </c>
      <c r="AG7" s="156">
        <f>入力シート!$AC$15</f>
        <v>0</v>
      </c>
      <c r="AH7" s="156" t="str">
        <f>入力シート!$AD$15</f>
        <v/>
      </c>
      <c r="AI7" s="156">
        <f>入力シート!$AE$15</f>
        <v>0</v>
      </c>
      <c r="AJ7" s="156" t="str">
        <f>入力シート!$AF$15</f>
        <v/>
      </c>
      <c r="AK7" s="155">
        <f>入力シート!$AG$15</f>
        <v>0</v>
      </c>
      <c r="AL7" s="155" t="str">
        <f>入力シート!$AH$15</f>
        <v/>
      </c>
      <c r="AM7" s="155">
        <f>入力シート!$AI$15</f>
        <v>0</v>
      </c>
      <c r="AN7" s="158">
        <f>入力シート!$AJ$15</f>
        <v>0</v>
      </c>
      <c r="AO7" s="155" t="str">
        <f>入力シート!$AK$15</f>
        <v/>
      </c>
      <c r="AP7" s="158">
        <f>入力シート!$AR$15</f>
        <v>0</v>
      </c>
      <c r="AQ7" s="158">
        <f>入力シート!$AV$15</f>
        <v>0</v>
      </c>
      <c r="AR7" s="158">
        <f>入力シート!$AW$15</f>
        <v>0</v>
      </c>
      <c r="AS7" s="155">
        <f>入力シート!$BF$15</f>
        <v>0</v>
      </c>
      <c r="AT7" s="155">
        <f>入力シート!$BG$15</f>
        <v>0</v>
      </c>
    </row>
    <row r="8" spans="1:46" x14ac:dyDescent="0.15">
      <c r="A8" s="155">
        <v>5</v>
      </c>
      <c r="F8" s="155" t="str">
        <f>入力シート!$B$16</f>
        <v/>
      </c>
      <c r="H8" s="155">
        <f>入力シート!$D$16</f>
        <v>0</v>
      </c>
      <c r="I8" s="155">
        <f>入力シート!$E$16</f>
        <v>0</v>
      </c>
      <c r="J8" s="155">
        <f>入力シート!$F$16</f>
        <v>0</v>
      </c>
      <c r="K8" s="157">
        <f>入力シート!$G$16</f>
        <v>0</v>
      </c>
      <c r="L8" s="19"/>
      <c r="M8" s="156" t="str">
        <f>入力シート!$I$16</f>
        <v/>
      </c>
      <c r="N8" s="156">
        <f>入力シート!$J$16</f>
        <v>0</v>
      </c>
      <c r="O8" s="156">
        <f>入力シート!$K$16</f>
        <v>0</v>
      </c>
      <c r="P8" s="156">
        <f>入力シート!$L$16</f>
        <v>0</v>
      </c>
      <c r="Q8" s="156">
        <f>入力シート!$M$16</f>
        <v>0</v>
      </c>
      <c r="R8" s="156">
        <f>入力シート!$N$16</f>
        <v>0</v>
      </c>
      <c r="S8" s="156">
        <f>入力シート!$O$16</f>
        <v>0</v>
      </c>
      <c r="T8" s="156">
        <f>入力シート!$P$16</f>
        <v>0</v>
      </c>
      <c r="U8" s="242">
        <f>入力シート!$Q$16</f>
        <v>0</v>
      </c>
      <c r="V8" s="242">
        <f>入力シート!$R$16</f>
        <v>0</v>
      </c>
      <c r="W8" s="242">
        <f>入力シート!$S$16</f>
        <v>0</v>
      </c>
      <c r="X8" s="242">
        <f>入力シート!$T$16</f>
        <v>0</v>
      </c>
      <c r="Y8" s="242">
        <f>入力シート!$U$16</f>
        <v>0</v>
      </c>
      <c r="Z8" s="242">
        <f>入力シート!$V$16</f>
        <v>0</v>
      </c>
      <c r="AA8" s="242">
        <f>入力シート!$W$16</f>
        <v>0</v>
      </c>
      <c r="AB8" s="156">
        <f>入力シート!$X$16</f>
        <v>0</v>
      </c>
      <c r="AC8" s="156">
        <f>入力シート!$Y$16</f>
        <v>0</v>
      </c>
      <c r="AD8" s="156" t="str">
        <f>入力シート!$Z$16</f>
        <v/>
      </c>
      <c r="AE8" s="156">
        <f>入力シート!$AA$16</f>
        <v>0</v>
      </c>
      <c r="AF8" s="156" t="str">
        <f>入力シート!$AB$16</f>
        <v/>
      </c>
      <c r="AG8" s="156">
        <f>入力シート!$AC$16</f>
        <v>0</v>
      </c>
      <c r="AH8" s="156" t="str">
        <f>入力シート!$AD$16</f>
        <v/>
      </c>
      <c r="AI8" s="156">
        <f>入力シート!$AE$16</f>
        <v>0</v>
      </c>
      <c r="AJ8" s="156" t="str">
        <f>入力シート!$AF$16</f>
        <v/>
      </c>
      <c r="AK8" s="155">
        <f>入力シート!$AG$16</f>
        <v>0</v>
      </c>
      <c r="AL8" s="155" t="str">
        <f>入力シート!$AH$16</f>
        <v/>
      </c>
      <c r="AM8" s="155">
        <f>入力シート!$AI$16</f>
        <v>0</v>
      </c>
      <c r="AN8" s="158">
        <f>入力シート!$AJ$16</f>
        <v>0</v>
      </c>
      <c r="AO8" s="155" t="str">
        <f>入力シート!$AK$16</f>
        <v/>
      </c>
      <c r="AP8" s="158">
        <f>入力シート!$AR$16</f>
        <v>0</v>
      </c>
      <c r="AQ8" s="158">
        <f>入力シート!$AV$16</f>
        <v>0</v>
      </c>
      <c r="AR8" s="158">
        <f>入力シート!$AW$16</f>
        <v>0</v>
      </c>
      <c r="AS8" s="155">
        <f>入力シート!$BF$16</f>
        <v>0</v>
      </c>
      <c r="AT8" s="155">
        <f>入力シート!$BG$16</f>
        <v>0</v>
      </c>
    </row>
    <row r="9" spans="1:46" x14ac:dyDescent="0.15">
      <c r="A9" s="155">
        <v>6</v>
      </c>
      <c r="F9" s="155" t="str">
        <f>入力シート!$B$17</f>
        <v/>
      </c>
      <c r="H9" s="155">
        <f>入力シート!$D$17</f>
        <v>0</v>
      </c>
      <c r="I9" s="155">
        <f>入力シート!$E$17</f>
        <v>0</v>
      </c>
      <c r="J9" s="155">
        <f>入力シート!$F$17</f>
        <v>0</v>
      </c>
      <c r="K9" s="157">
        <f>入力シート!$G$17</f>
        <v>0</v>
      </c>
      <c r="L9" s="19"/>
      <c r="M9" s="156" t="str">
        <f>入力シート!$I$17</f>
        <v/>
      </c>
      <c r="N9" s="156">
        <f>入力シート!$J$17</f>
        <v>0</v>
      </c>
      <c r="O9" s="156">
        <f>入力シート!$K$17</f>
        <v>0</v>
      </c>
      <c r="P9" s="156">
        <f>入力シート!$L$17</f>
        <v>0</v>
      </c>
      <c r="Q9" s="156">
        <f>入力シート!$M$17</f>
        <v>0</v>
      </c>
      <c r="R9" s="156">
        <f>入力シート!$N$17</f>
        <v>0</v>
      </c>
      <c r="S9" s="156">
        <f>入力シート!$O$17</f>
        <v>0</v>
      </c>
      <c r="T9" s="156">
        <f>入力シート!$P$17</f>
        <v>0</v>
      </c>
      <c r="U9" s="242">
        <f>入力シート!$Q$17</f>
        <v>0</v>
      </c>
      <c r="V9" s="242">
        <f>入力シート!$R$17</f>
        <v>0</v>
      </c>
      <c r="W9" s="242">
        <f>入力シート!$S$17</f>
        <v>0</v>
      </c>
      <c r="X9" s="242">
        <f>入力シート!$T$17</f>
        <v>0</v>
      </c>
      <c r="Y9" s="242">
        <f>入力シート!$U$17</f>
        <v>0</v>
      </c>
      <c r="Z9" s="242">
        <f>入力シート!$V$17</f>
        <v>0</v>
      </c>
      <c r="AA9" s="242">
        <f>入力シート!$W$17</f>
        <v>0</v>
      </c>
      <c r="AB9" s="156">
        <f>入力シート!$X$17</f>
        <v>0</v>
      </c>
      <c r="AC9" s="156">
        <f>入力シート!$Y$17</f>
        <v>0</v>
      </c>
      <c r="AD9" s="156" t="str">
        <f>入力シート!$Z$17</f>
        <v/>
      </c>
      <c r="AE9" s="156">
        <f>入力シート!$AA$17</f>
        <v>0</v>
      </c>
      <c r="AF9" s="156" t="str">
        <f>入力シート!$AB$17</f>
        <v/>
      </c>
      <c r="AG9" s="156">
        <f>入力シート!$AC$17</f>
        <v>0</v>
      </c>
      <c r="AH9" s="156" t="str">
        <f>入力シート!$AD$17</f>
        <v/>
      </c>
      <c r="AI9" s="156">
        <f>入力シート!$AE$17</f>
        <v>0</v>
      </c>
      <c r="AJ9" s="156" t="str">
        <f>入力シート!$AF$17</f>
        <v/>
      </c>
      <c r="AK9" s="155">
        <f>入力シート!$AG$17</f>
        <v>0</v>
      </c>
      <c r="AL9" s="155" t="str">
        <f>入力シート!$AH$17</f>
        <v/>
      </c>
      <c r="AM9" s="155">
        <f>入力シート!$AI$17</f>
        <v>0</v>
      </c>
      <c r="AN9" s="158">
        <f>入力シート!$AJ$17</f>
        <v>0</v>
      </c>
      <c r="AO9" s="155" t="str">
        <f>入力シート!$AK$17</f>
        <v/>
      </c>
      <c r="AP9" s="158">
        <f>入力シート!$AR$17</f>
        <v>0</v>
      </c>
      <c r="AQ9" s="158">
        <f>入力シート!$AV$17</f>
        <v>0</v>
      </c>
      <c r="AR9" s="158">
        <f>入力シート!$AW$17</f>
        <v>0</v>
      </c>
      <c r="AS9" s="155">
        <f>入力シート!$BF$17</f>
        <v>0</v>
      </c>
      <c r="AT9" s="155">
        <f>入力シート!$BG$17</f>
        <v>0</v>
      </c>
    </row>
    <row r="10" spans="1:46" x14ac:dyDescent="0.15">
      <c r="A10" s="155">
        <v>7</v>
      </c>
      <c r="F10" s="155" t="str">
        <f>入力シート!$B$18</f>
        <v/>
      </c>
      <c r="H10" s="155">
        <f>入力シート!$D$18</f>
        <v>0</v>
      </c>
      <c r="I10" s="155">
        <f>入力シート!$E$18</f>
        <v>0</v>
      </c>
      <c r="J10" s="155">
        <f>入力シート!$F$18</f>
        <v>0</v>
      </c>
      <c r="K10" s="157">
        <f>入力シート!$G$18</f>
        <v>0</v>
      </c>
      <c r="L10" s="19"/>
      <c r="M10" s="156" t="str">
        <f>入力シート!$I$18</f>
        <v/>
      </c>
      <c r="N10" s="156">
        <f>入力シート!$J$18</f>
        <v>0</v>
      </c>
      <c r="O10" s="156">
        <f>入力シート!$K$18</f>
        <v>0</v>
      </c>
      <c r="P10" s="156">
        <f>入力シート!$L$18</f>
        <v>0</v>
      </c>
      <c r="Q10" s="156">
        <f>入力シート!$M$18</f>
        <v>0</v>
      </c>
      <c r="R10" s="156">
        <f>入力シート!$N$18</f>
        <v>0</v>
      </c>
      <c r="S10" s="156">
        <f>入力シート!$O$18</f>
        <v>0</v>
      </c>
      <c r="T10" s="156">
        <f>入力シート!$P$18</f>
        <v>0</v>
      </c>
      <c r="U10" s="242">
        <f>入力シート!$Q$18</f>
        <v>0</v>
      </c>
      <c r="V10" s="242">
        <f>入力シート!$R$18</f>
        <v>0</v>
      </c>
      <c r="W10" s="242">
        <f>入力シート!$S$18</f>
        <v>0</v>
      </c>
      <c r="X10" s="242">
        <f>入力シート!$T$18</f>
        <v>0</v>
      </c>
      <c r="Y10" s="242">
        <f>入力シート!$U$18</f>
        <v>0</v>
      </c>
      <c r="Z10" s="242">
        <f>入力シート!$V$18</f>
        <v>0</v>
      </c>
      <c r="AA10" s="242">
        <f>入力シート!$W$18</f>
        <v>0</v>
      </c>
      <c r="AB10" s="156">
        <f>入力シート!$X$18</f>
        <v>0</v>
      </c>
      <c r="AC10" s="156">
        <f>入力シート!$Y$18</f>
        <v>0</v>
      </c>
      <c r="AD10" s="156" t="str">
        <f>入力シート!$Z$18</f>
        <v/>
      </c>
      <c r="AE10" s="156">
        <f>入力シート!$AA$18</f>
        <v>0</v>
      </c>
      <c r="AF10" s="156" t="str">
        <f>入力シート!$AB$18</f>
        <v/>
      </c>
      <c r="AG10" s="156">
        <f>入力シート!$AC$18</f>
        <v>0</v>
      </c>
      <c r="AH10" s="156" t="str">
        <f>入力シート!$AD$18</f>
        <v/>
      </c>
      <c r="AI10" s="156">
        <f>入力シート!$AE$18</f>
        <v>0</v>
      </c>
      <c r="AJ10" s="156" t="str">
        <f>入力シート!$AF$18</f>
        <v/>
      </c>
      <c r="AK10" s="155">
        <f>入力シート!$AG$18</f>
        <v>0</v>
      </c>
      <c r="AL10" s="155" t="str">
        <f>入力シート!$AH$18</f>
        <v/>
      </c>
      <c r="AM10" s="155">
        <f>入力シート!$AI$18</f>
        <v>0</v>
      </c>
      <c r="AN10" s="158">
        <f>入力シート!$AJ$18</f>
        <v>0</v>
      </c>
      <c r="AO10" s="155" t="str">
        <f>入力シート!$AK$18</f>
        <v/>
      </c>
      <c r="AP10" s="158">
        <f>入力シート!$AR$18</f>
        <v>0</v>
      </c>
      <c r="AQ10" s="158">
        <f>入力シート!$AV$18</f>
        <v>0</v>
      </c>
      <c r="AR10" s="158">
        <f>入力シート!$AW$18</f>
        <v>0</v>
      </c>
      <c r="AS10" s="155">
        <f>入力シート!$BF$18</f>
        <v>0</v>
      </c>
      <c r="AT10" s="155">
        <f>入力シート!$BG$18</f>
        <v>0</v>
      </c>
    </row>
    <row r="11" spans="1:46" x14ac:dyDescent="0.15">
      <c r="A11" s="155">
        <v>8</v>
      </c>
      <c r="F11" s="155" t="str">
        <f>入力シート!$B$19</f>
        <v/>
      </c>
      <c r="H11" s="155">
        <f>入力シート!$D$19</f>
        <v>0</v>
      </c>
      <c r="I11" s="155">
        <f>入力シート!$E$19</f>
        <v>0</v>
      </c>
      <c r="J11" s="155">
        <f>入力シート!$F$19</f>
        <v>0</v>
      </c>
      <c r="K11" s="157">
        <f>入力シート!$G$19</f>
        <v>0</v>
      </c>
      <c r="L11" s="19"/>
      <c r="M11" s="156" t="str">
        <f>入力シート!$I$19</f>
        <v/>
      </c>
      <c r="N11" s="156">
        <f>入力シート!$J$19</f>
        <v>0</v>
      </c>
      <c r="O11" s="156">
        <f>入力シート!$K$19</f>
        <v>0</v>
      </c>
      <c r="P11" s="156">
        <f>入力シート!$L$19</f>
        <v>0</v>
      </c>
      <c r="Q11" s="156">
        <f>入力シート!$M$19</f>
        <v>0</v>
      </c>
      <c r="R11" s="156">
        <f>入力シート!$N$19</f>
        <v>0</v>
      </c>
      <c r="S11" s="156">
        <f>入力シート!$O$19</f>
        <v>0</v>
      </c>
      <c r="T11" s="156">
        <f>入力シート!$P$19</f>
        <v>0</v>
      </c>
      <c r="U11" s="242">
        <f>入力シート!$Q$19</f>
        <v>0</v>
      </c>
      <c r="V11" s="242">
        <f>入力シート!$R$19</f>
        <v>0</v>
      </c>
      <c r="W11" s="242">
        <f>入力シート!$S$19</f>
        <v>0</v>
      </c>
      <c r="X11" s="242">
        <f>入力シート!$T$19</f>
        <v>0</v>
      </c>
      <c r="Y11" s="242">
        <f>入力シート!$U$19</f>
        <v>0</v>
      </c>
      <c r="Z11" s="394">
        <f>入力シート!$V$19</f>
        <v>0</v>
      </c>
      <c r="AA11" s="242">
        <f>入力シート!$W$19</f>
        <v>0</v>
      </c>
      <c r="AB11" s="156">
        <f>入力シート!$X$19</f>
        <v>0</v>
      </c>
      <c r="AC11" s="156">
        <f>入力シート!$Y$19</f>
        <v>0</v>
      </c>
      <c r="AD11" s="156" t="str">
        <f>入力シート!$Z$19</f>
        <v/>
      </c>
      <c r="AE11" s="156">
        <f>入力シート!$AA$19</f>
        <v>0</v>
      </c>
      <c r="AF11" s="156" t="str">
        <f>入力シート!$AB$19</f>
        <v/>
      </c>
      <c r="AG11" s="156">
        <f>入力シート!$AC$19</f>
        <v>0</v>
      </c>
      <c r="AH11" s="156" t="str">
        <f>入力シート!$AD$19</f>
        <v/>
      </c>
      <c r="AI11" s="156">
        <f>入力シート!$AE$19</f>
        <v>0</v>
      </c>
      <c r="AJ11" s="156" t="str">
        <f>入力シート!$AF$19</f>
        <v/>
      </c>
      <c r="AK11" s="155">
        <f>入力シート!$AG$19</f>
        <v>0</v>
      </c>
      <c r="AL11" s="155" t="str">
        <f>入力シート!$AH$19</f>
        <v/>
      </c>
      <c r="AM11" s="155">
        <f>入力シート!$AI$19</f>
        <v>0</v>
      </c>
      <c r="AN11" s="158">
        <f>入力シート!$AJ$19</f>
        <v>0</v>
      </c>
      <c r="AO11" s="155" t="str">
        <f>入力シート!$AK$19</f>
        <v/>
      </c>
      <c r="AP11" s="158">
        <f>入力シート!$AR$19</f>
        <v>0</v>
      </c>
      <c r="AQ11" s="158">
        <f>入力シート!$AV$19</f>
        <v>0</v>
      </c>
      <c r="AR11" s="158">
        <f>入力シート!$AW$19</f>
        <v>0</v>
      </c>
      <c r="AS11" s="155">
        <f>入力シート!$BF$19</f>
        <v>0</v>
      </c>
      <c r="AT11" s="155">
        <f>入力シート!$BG$19</f>
        <v>0</v>
      </c>
    </row>
    <row r="12" spans="1:46" x14ac:dyDescent="0.15">
      <c r="A12" s="155">
        <v>9</v>
      </c>
      <c r="F12" s="155" t="str">
        <f>入力シート!$B$20</f>
        <v/>
      </c>
      <c r="H12" s="155">
        <f>入力シート!$D$20</f>
        <v>0</v>
      </c>
      <c r="I12" s="155">
        <f>入力シート!$E$20</f>
        <v>0</v>
      </c>
      <c r="J12" s="155">
        <f>入力シート!$F$20</f>
        <v>0</v>
      </c>
      <c r="K12" s="157">
        <f>入力シート!$G$20</f>
        <v>0</v>
      </c>
      <c r="L12" s="19"/>
      <c r="M12" s="156" t="str">
        <f>入力シート!$I$20</f>
        <v/>
      </c>
      <c r="N12" s="156">
        <f>入力シート!$J$20</f>
        <v>0</v>
      </c>
      <c r="O12" s="156">
        <f>入力シート!$K$20</f>
        <v>0</v>
      </c>
      <c r="P12" s="156">
        <f>入力シート!$L$20</f>
        <v>0</v>
      </c>
      <c r="Q12" s="156">
        <f>入力シート!$M$20</f>
        <v>0</v>
      </c>
      <c r="R12" s="156">
        <f>入力シート!$N$20</f>
        <v>0</v>
      </c>
      <c r="S12" s="156">
        <f>入力シート!$O$20</f>
        <v>0</v>
      </c>
      <c r="T12" s="156">
        <f>入力シート!$P$20</f>
        <v>0</v>
      </c>
      <c r="U12" s="242">
        <f>入力シート!$Q$20</f>
        <v>0</v>
      </c>
      <c r="V12" s="242">
        <f>入力シート!$R$20</f>
        <v>0</v>
      </c>
      <c r="W12" s="242">
        <f>入力シート!$S$20</f>
        <v>0</v>
      </c>
      <c r="X12" s="242">
        <f>入力シート!$T$20</f>
        <v>0</v>
      </c>
      <c r="Y12" s="242">
        <f>入力シート!$U$20</f>
        <v>0</v>
      </c>
      <c r="Z12" s="242">
        <f>入力シート!$V$20</f>
        <v>0</v>
      </c>
      <c r="AA12" s="242">
        <f>入力シート!$W$20</f>
        <v>0</v>
      </c>
      <c r="AB12" s="156">
        <f>入力シート!$X$20</f>
        <v>0</v>
      </c>
      <c r="AC12" s="156">
        <f>入力シート!$Y$20</f>
        <v>0</v>
      </c>
      <c r="AD12" s="156" t="str">
        <f>入力シート!$Z$20</f>
        <v/>
      </c>
      <c r="AE12" s="156">
        <f>入力シート!$AA$20</f>
        <v>0</v>
      </c>
      <c r="AF12" s="156" t="str">
        <f>入力シート!$AB$20</f>
        <v/>
      </c>
      <c r="AG12" s="156">
        <f>入力シート!$AC$20</f>
        <v>0</v>
      </c>
      <c r="AH12" s="156" t="str">
        <f>入力シート!$AD$20</f>
        <v/>
      </c>
      <c r="AI12" s="156">
        <f>入力シート!$AE$20</f>
        <v>0</v>
      </c>
      <c r="AJ12" s="156" t="str">
        <f>入力シート!$AF$20</f>
        <v/>
      </c>
      <c r="AK12" s="155">
        <f>入力シート!$AG$20</f>
        <v>0</v>
      </c>
      <c r="AL12" s="155" t="str">
        <f>入力シート!$AH$20</f>
        <v/>
      </c>
      <c r="AM12" s="155">
        <f>入力シート!$AI$20</f>
        <v>0</v>
      </c>
      <c r="AN12" s="158">
        <f>入力シート!$AJ$20</f>
        <v>0</v>
      </c>
      <c r="AO12" s="155" t="str">
        <f>入力シート!$AK$20</f>
        <v/>
      </c>
      <c r="AP12" s="158">
        <f>入力シート!$AR$20</f>
        <v>0</v>
      </c>
      <c r="AQ12" s="158">
        <f>入力シート!$AV$20</f>
        <v>0</v>
      </c>
      <c r="AR12" s="158">
        <f>入力シート!$AW$20</f>
        <v>0</v>
      </c>
      <c r="AS12" s="155">
        <f>入力シート!$BF$20</f>
        <v>0</v>
      </c>
      <c r="AT12" s="155">
        <f>入力シート!$BG$20</f>
        <v>0</v>
      </c>
    </row>
    <row r="13" spans="1:46" x14ac:dyDescent="0.15">
      <c r="A13" s="155">
        <v>10</v>
      </c>
      <c r="F13" s="155" t="str">
        <f>入力シート!$B$21</f>
        <v/>
      </c>
      <c r="H13" s="155">
        <f>入力シート!$D$21</f>
        <v>0</v>
      </c>
      <c r="I13" s="155">
        <f>入力シート!$E$21</f>
        <v>0</v>
      </c>
      <c r="J13" s="155">
        <f>入力シート!$F$21</f>
        <v>0</v>
      </c>
      <c r="K13" s="157">
        <f>入力シート!$G$21</f>
        <v>0</v>
      </c>
      <c r="L13" s="19"/>
      <c r="M13" s="156" t="str">
        <f>入力シート!$I$21</f>
        <v/>
      </c>
      <c r="N13" s="156">
        <f>入力シート!$J$21</f>
        <v>0</v>
      </c>
      <c r="O13" s="156">
        <f>入力シート!$K$21</f>
        <v>0</v>
      </c>
      <c r="P13" s="156">
        <f>入力シート!$L$21</f>
        <v>0</v>
      </c>
      <c r="Q13" s="156">
        <f>入力シート!$M$21</f>
        <v>0</v>
      </c>
      <c r="R13" s="156">
        <f>入力シート!$N$21</f>
        <v>0</v>
      </c>
      <c r="S13" s="156">
        <f>入力シート!$O$21</f>
        <v>0</v>
      </c>
      <c r="T13" s="156">
        <f>入力シート!$P$21</f>
        <v>0</v>
      </c>
      <c r="U13" s="242">
        <f>入力シート!$Q$21</f>
        <v>0</v>
      </c>
      <c r="V13" s="242">
        <f>入力シート!$R$21</f>
        <v>0</v>
      </c>
      <c r="W13" s="242">
        <f>入力シート!$S$21</f>
        <v>0</v>
      </c>
      <c r="X13" s="242">
        <f>入力シート!$T$21</f>
        <v>0</v>
      </c>
      <c r="Y13" s="242">
        <f>入力シート!$U$21</f>
        <v>0</v>
      </c>
      <c r="Z13" s="242">
        <f>入力シート!$V$21</f>
        <v>0</v>
      </c>
      <c r="AA13" s="242">
        <f>入力シート!$W$21</f>
        <v>0</v>
      </c>
      <c r="AB13" s="156">
        <f>入力シート!$X$21</f>
        <v>0</v>
      </c>
      <c r="AC13" s="156">
        <f>入力シート!$Y$21</f>
        <v>0</v>
      </c>
      <c r="AD13" s="156" t="str">
        <f>入力シート!$Z$21</f>
        <v/>
      </c>
      <c r="AE13" s="156">
        <f>入力シート!$AA$21</f>
        <v>0</v>
      </c>
      <c r="AF13" s="156" t="str">
        <f>入力シート!$AB$21</f>
        <v/>
      </c>
      <c r="AG13" s="156">
        <f>入力シート!$AC$21</f>
        <v>0</v>
      </c>
      <c r="AH13" s="156" t="str">
        <f>入力シート!$AD$21</f>
        <v/>
      </c>
      <c r="AI13" s="156">
        <f>入力シート!$AE$21</f>
        <v>0</v>
      </c>
      <c r="AJ13" s="156" t="str">
        <f>入力シート!$AF$21</f>
        <v/>
      </c>
      <c r="AK13" s="155">
        <f>入力シート!$AG$21</f>
        <v>0</v>
      </c>
      <c r="AL13" s="155" t="str">
        <f>入力シート!$AH$21</f>
        <v/>
      </c>
      <c r="AM13" s="155">
        <f>入力シート!$AI$21</f>
        <v>0</v>
      </c>
      <c r="AN13" s="158">
        <f>入力シート!$AJ$21</f>
        <v>0</v>
      </c>
      <c r="AO13" s="155" t="str">
        <f>入力シート!$AK$21</f>
        <v/>
      </c>
      <c r="AP13" s="158">
        <f>入力シート!$AR$21</f>
        <v>0</v>
      </c>
      <c r="AQ13" s="158">
        <f>入力シート!$AV$21</f>
        <v>0</v>
      </c>
      <c r="AR13" s="158">
        <f>入力シート!$AW$21</f>
        <v>0</v>
      </c>
      <c r="AS13" s="155">
        <f>入力シート!$BF$21</f>
        <v>0</v>
      </c>
      <c r="AT13" s="155">
        <f>入力シート!$BG$21</f>
        <v>0</v>
      </c>
    </row>
    <row r="14" spans="1:46" x14ac:dyDescent="0.15">
      <c r="A14" s="155">
        <v>11</v>
      </c>
      <c r="F14" s="155" t="str">
        <f>入力シート!$B$22</f>
        <v/>
      </c>
      <c r="H14" s="155">
        <f>入力シート!$D$22</f>
        <v>0</v>
      </c>
      <c r="I14" s="155">
        <f>入力シート!$E$22</f>
        <v>0</v>
      </c>
      <c r="J14" s="155">
        <f>入力シート!$F$22</f>
        <v>0</v>
      </c>
      <c r="K14" s="157">
        <f>入力シート!$G$22</f>
        <v>0</v>
      </c>
      <c r="L14" s="19"/>
      <c r="M14" s="156" t="str">
        <f>入力シート!$I$22</f>
        <v/>
      </c>
      <c r="N14" s="156">
        <f>入力シート!$J$22</f>
        <v>0</v>
      </c>
      <c r="O14" s="156">
        <f>入力シート!$K$22</f>
        <v>0</v>
      </c>
      <c r="P14" s="156">
        <f>入力シート!$L$22</f>
        <v>0</v>
      </c>
      <c r="Q14" s="156">
        <f>入力シート!$M$22</f>
        <v>0</v>
      </c>
      <c r="R14" s="156">
        <f>入力シート!$N$22</f>
        <v>0</v>
      </c>
      <c r="S14" s="156">
        <f>入力シート!$O$22</f>
        <v>0</v>
      </c>
      <c r="T14" s="156">
        <f>入力シート!$P$22</f>
        <v>0</v>
      </c>
      <c r="U14" s="242">
        <f>入力シート!$Q$22</f>
        <v>0</v>
      </c>
      <c r="V14" s="242">
        <f>入力シート!$R$22</f>
        <v>0</v>
      </c>
      <c r="W14" s="242">
        <f>入力シート!$S$22</f>
        <v>0</v>
      </c>
      <c r="X14" s="242">
        <f>入力シート!$T$22</f>
        <v>0</v>
      </c>
      <c r="Y14" s="242">
        <f>入力シート!$U$22</f>
        <v>0</v>
      </c>
      <c r="Z14" s="242">
        <f>入力シート!$V$22</f>
        <v>0</v>
      </c>
      <c r="AA14" s="242">
        <f>入力シート!$W$22</f>
        <v>0</v>
      </c>
      <c r="AB14" s="156">
        <f>入力シート!$X$22</f>
        <v>0</v>
      </c>
      <c r="AC14" s="156">
        <f>入力シート!$Y$22</f>
        <v>0</v>
      </c>
      <c r="AD14" s="156" t="str">
        <f>入力シート!$Z$22</f>
        <v/>
      </c>
      <c r="AE14" s="156">
        <f>入力シート!$AA$22</f>
        <v>0</v>
      </c>
      <c r="AF14" s="156" t="str">
        <f>入力シート!$AB$22</f>
        <v/>
      </c>
      <c r="AG14" s="156">
        <f>入力シート!$AC$22</f>
        <v>0</v>
      </c>
      <c r="AH14" s="156" t="str">
        <f>入力シート!$AD$22</f>
        <v/>
      </c>
      <c r="AI14" s="156">
        <f>入力シート!$AE$22</f>
        <v>0</v>
      </c>
      <c r="AJ14" s="156" t="str">
        <f>入力シート!$AF$22</f>
        <v/>
      </c>
      <c r="AK14" s="155">
        <f>入力シート!$AG$22</f>
        <v>0</v>
      </c>
      <c r="AL14" s="155" t="str">
        <f>入力シート!$AH$22</f>
        <v/>
      </c>
      <c r="AM14" s="155">
        <f>入力シート!$AI$22</f>
        <v>0</v>
      </c>
      <c r="AN14" s="158">
        <f>入力シート!$AJ$22</f>
        <v>0</v>
      </c>
      <c r="AO14" s="155" t="str">
        <f>入力シート!$AK$22</f>
        <v/>
      </c>
      <c r="AP14" s="158">
        <f>入力シート!$AR$22</f>
        <v>0</v>
      </c>
      <c r="AQ14" s="158">
        <f>入力シート!$AV$22</f>
        <v>0</v>
      </c>
      <c r="AR14" s="158">
        <f>入力シート!$AW$22</f>
        <v>0</v>
      </c>
      <c r="AS14" s="155">
        <f>入力シート!$BF$22</f>
        <v>0</v>
      </c>
      <c r="AT14" s="155">
        <f>入力シート!$BG$22</f>
        <v>0</v>
      </c>
    </row>
    <row r="15" spans="1:46" x14ac:dyDescent="0.15">
      <c r="A15" s="155">
        <v>12</v>
      </c>
      <c r="F15" s="155" t="str">
        <f>入力シート!$B$23</f>
        <v/>
      </c>
      <c r="H15" s="155">
        <f>入力シート!$D$23</f>
        <v>0</v>
      </c>
      <c r="I15" s="155">
        <f>入力シート!$E$23</f>
        <v>0</v>
      </c>
      <c r="J15" s="155">
        <f>入力シート!$F$23</f>
        <v>0</v>
      </c>
      <c r="K15" s="157">
        <f>入力シート!$G$23</f>
        <v>0</v>
      </c>
      <c r="L15" s="19"/>
      <c r="M15" s="156" t="str">
        <f>入力シート!$I$23</f>
        <v/>
      </c>
      <c r="N15" s="156">
        <f>入力シート!$J$23</f>
        <v>0</v>
      </c>
      <c r="O15" s="156">
        <f>入力シート!$K$23</f>
        <v>0</v>
      </c>
      <c r="P15" s="156">
        <f>入力シート!$L$23</f>
        <v>0</v>
      </c>
      <c r="Q15" s="156">
        <f>入力シート!$M$23</f>
        <v>0</v>
      </c>
      <c r="R15" s="156">
        <f>入力シート!$N$23</f>
        <v>0</v>
      </c>
      <c r="S15" s="156">
        <f>入力シート!$O$23</f>
        <v>0</v>
      </c>
      <c r="T15" s="156">
        <f>入力シート!$P$23</f>
        <v>0</v>
      </c>
      <c r="U15" s="242">
        <f>入力シート!$Q$23</f>
        <v>0</v>
      </c>
      <c r="V15" s="242">
        <f>入力シート!$R$23</f>
        <v>0</v>
      </c>
      <c r="W15" s="242">
        <f>入力シート!$S$23</f>
        <v>0</v>
      </c>
      <c r="X15" s="242">
        <f>入力シート!$T$23</f>
        <v>0</v>
      </c>
      <c r="Y15" s="242">
        <f>入力シート!$U$23</f>
        <v>0</v>
      </c>
      <c r="Z15" s="242">
        <f>入力シート!$V$23</f>
        <v>0</v>
      </c>
      <c r="AA15" s="242">
        <f>入力シート!$W$23</f>
        <v>0</v>
      </c>
      <c r="AB15" s="156">
        <f>入力シート!$X$23</f>
        <v>0</v>
      </c>
      <c r="AC15" s="156">
        <f>入力シート!$Y$23</f>
        <v>0</v>
      </c>
      <c r="AD15" s="156" t="str">
        <f>入力シート!$Z$23</f>
        <v/>
      </c>
      <c r="AE15" s="156">
        <f>入力シート!$AA$23</f>
        <v>0</v>
      </c>
      <c r="AF15" s="156" t="str">
        <f>入力シート!$AB$23</f>
        <v/>
      </c>
      <c r="AG15" s="156">
        <f>入力シート!$AC$23</f>
        <v>0</v>
      </c>
      <c r="AH15" s="156" t="str">
        <f>入力シート!$AD$23</f>
        <v/>
      </c>
      <c r="AI15" s="156">
        <f>入力シート!$AE$23</f>
        <v>0</v>
      </c>
      <c r="AJ15" s="156" t="str">
        <f>入力シート!$AF$23</f>
        <v/>
      </c>
      <c r="AK15" s="155">
        <f>入力シート!$AG$23</f>
        <v>0</v>
      </c>
      <c r="AL15" s="155" t="str">
        <f>入力シート!$AH$23</f>
        <v/>
      </c>
      <c r="AM15" s="155">
        <f>入力シート!$AI$23</f>
        <v>0</v>
      </c>
      <c r="AN15" s="158">
        <f>入力シート!$AJ$23</f>
        <v>0</v>
      </c>
      <c r="AO15" s="155" t="str">
        <f>入力シート!$AK$23</f>
        <v/>
      </c>
      <c r="AP15" s="158">
        <f>入力シート!$AR$23</f>
        <v>0</v>
      </c>
      <c r="AQ15" s="158">
        <f>入力シート!$AV$23</f>
        <v>0</v>
      </c>
      <c r="AR15" s="158">
        <f>入力シート!$AW$23</f>
        <v>0</v>
      </c>
      <c r="AS15" s="155">
        <f>入力シート!$BF$23</f>
        <v>0</v>
      </c>
      <c r="AT15" s="155">
        <f>入力シート!$BG$23</f>
        <v>0</v>
      </c>
    </row>
    <row r="16" spans="1:46" x14ac:dyDescent="0.15">
      <c r="A16" s="155">
        <v>13</v>
      </c>
      <c r="F16" s="155" t="str">
        <f>入力シート!$B$24</f>
        <v/>
      </c>
      <c r="H16" s="155">
        <f>入力シート!$D$24</f>
        <v>0</v>
      </c>
      <c r="I16" s="155">
        <f>入力シート!$E$24</f>
        <v>0</v>
      </c>
      <c r="J16" s="155">
        <f>入力シート!$F$24</f>
        <v>0</v>
      </c>
      <c r="K16" s="157">
        <f>入力シート!$G$24</f>
        <v>0</v>
      </c>
      <c r="L16" s="19"/>
      <c r="M16" s="156" t="str">
        <f>入力シート!$I$24</f>
        <v/>
      </c>
      <c r="N16" s="156">
        <f>入力シート!$J$24</f>
        <v>0</v>
      </c>
      <c r="O16" s="156">
        <f>入力シート!$K$24</f>
        <v>0</v>
      </c>
      <c r="P16" s="156">
        <f>入力シート!$L$24</f>
        <v>0</v>
      </c>
      <c r="Q16" s="156">
        <f>入力シート!$M$24</f>
        <v>0</v>
      </c>
      <c r="R16" s="156">
        <f>入力シート!$N$24</f>
        <v>0</v>
      </c>
      <c r="S16" s="156">
        <f>入力シート!$O$24</f>
        <v>0</v>
      </c>
      <c r="T16" s="156">
        <f>入力シート!$P$24</f>
        <v>0</v>
      </c>
      <c r="U16" s="242">
        <f>入力シート!$Q$24</f>
        <v>0</v>
      </c>
      <c r="V16" s="242">
        <f>入力シート!$R$24</f>
        <v>0</v>
      </c>
      <c r="W16" s="242">
        <f>入力シート!$S$24</f>
        <v>0</v>
      </c>
      <c r="X16" s="242">
        <f>入力シート!$T$24</f>
        <v>0</v>
      </c>
      <c r="Y16" s="242">
        <f>入力シート!$U$24</f>
        <v>0</v>
      </c>
      <c r="Z16" s="242">
        <f>入力シート!$V$24</f>
        <v>0</v>
      </c>
      <c r="AA16" s="242">
        <f>入力シート!$W$24</f>
        <v>0</v>
      </c>
      <c r="AB16" s="156">
        <f>入力シート!$X$24</f>
        <v>0</v>
      </c>
      <c r="AC16" s="156">
        <f>入力シート!$Y$24</f>
        <v>0</v>
      </c>
      <c r="AD16" s="156" t="str">
        <f>入力シート!$Z$24</f>
        <v/>
      </c>
      <c r="AE16" s="156">
        <f>入力シート!$AA$24</f>
        <v>0</v>
      </c>
      <c r="AF16" s="156" t="str">
        <f>入力シート!$AB$24</f>
        <v/>
      </c>
      <c r="AG16" s="156">
        <f>入力シート!$AC$24</f>
        <v>0</v>
      </c>
      <c r="AH16" s="156" t="str">
        <f>入力シート!$AD$24</f>
        <v/>
      </c>
      <c r="AI16" s="156">
        <f>入力シート!$AE$24</f>
        <v>0</v>
      </c>
      <c r="AJ16" s="156" t="str">
        <f>入力シート!$AF$24</f>
        <v/>
      </c>
      <c r="AK16" s="155">
        <f>入力シート!$AG$24</f>
        <v>0</v>
      </c>
      <c r="AL16" s="155" t="str">
        <f>入力シート!$AH$24</f>
        <v/>
      </c>
      <c r="AM16" s="155">
        <f>入力シート!$AI$24</f>
        <v>0</v>
      </c>
      <c r="AN16" s="158">
        <f>入力シート!$AJ$24</f>
        <v>0</v>
      </c>
      <c r="AO16" s="155" t="str">
        <f>入力シート!$AK$24</f>
        <v/>
      </c>
      <c r="AP16" s="158">
        <f>入力シート!$AR$24</f>
        <v>0</v>
      </c>
      <c r="AQ16" s="158">
        <f>入力シート!$AV$24</f>
        <v>0</v>
      </c>
      <c r="AR16" s="158">
        <f>入力シート!$AW$24</f>
        <v>0</v>
      </c>
      <c r="AS16" s="155">
        <f>入力シート!$BF$24</f>
        <v>0</v>
      </c>
      <c r="AT16" s="155">
        <f>入力シート!$BG$24</f>
        <v>0</v>
      </c>
    </row>
    <row r="17" spans="1:46" x14ac:dyDescent="0.15">
      <c r="A17" s="155">
        <v>14</v>
      </c>
      <c r="F17" s="155" t="str">
        <f>入力シート!$B$25</f>
        <v/>
      </c>
      <c r="H17" s="155">
        <f>入力シート!$D$25</f>
        <v>0</v>
      </c>
      <c r="I17" s="155">
        <f>入力シート!$E$25</f>
        <v>0</v>
      </c>
      <c r="J17" s="155">
        <f>入力シート!$F$25</f>
        <v>0</v>
      </c>
      <c r="K17" s="157">
        <f>入力シート!$G$25</f>
        <v>0</v>
      </c>
      <c r="L17" s="19"/>
      <c r="M17" s="156" t="str">
        <f>入力シート!$I$25</f>
        <v/>
      </c>
      <c r="N17" s="156">
        <f>入力シート!$J$25</f>
        <v>0</v>
      </c>
      <c r="O17" s="156">
        <f>入力シート!$K$25</f>
        <v>0</v>
      </c>
      <c r="P17" s="156">
        <f>入力シート!$L$25</f>
        <v>0</v>
      </c>
      <c r="Q17" s="156">
        <f>入力シート!$M$25</f>
        <v>0</v>
      </c>
      <c r="R17" s="156">
        <f>入力シート!$N$25</f>
        <v>0</v>
      </c>
      <c r="S17" s="156">
        <f>入力シート!$O$25</f>
        <v>0</v>
      </c>
      <c r="T17" s="156">
        <f>入力シート!$P$25</f>
        <v>0</v>
      </c>
      <c r="U17" s="242">
        <f>入力シート!$Q$25</f>
        <v>0</v>
      </c>
      <c r="V17" s="242">
        <f>入力シート!$R$25</f>
        <v>0</v>
      </c>
      <c r="W17" s="242">
        <f>入力シート!$S$25</f>
        <v>0</v>
      </c>
      <c r="X17" s="242">
        <f>入力シート!$T$25</f>
        <v>0</v>
      </c>
      <c r="Y17" s="242">
        <f>入力シート!$U$25</f>
        <v>0</v>
      </c>
      <c r="Z17" s="242">
        <f>入力シート!$V$25</f>
        <v>0</v>
      </c>
      <c r="AA17" s="242">
        <f>入力シート!$W$25</f>
        <v>0</v>
      </c>
      <c r="AB17" s="156">
        <f>入力シート!$X$25</f>
        <v>0</v>
      </c>
      <c r="AC17" s="156">
        <f>入力シート!$Y$25</f>
        <v>0</v>
      </c>
      <c r="AD17" s="156" t="str">
        <f>入力シート!$Z$25</f>
        <v/>
      </c>
      <c r="AE17" s="156">
        <f>入力シート!$AA$25</f>
        <v>0</v>
      </c>
      <c r="AF17" s="156" t="str">
        <f>入力シート!$AB$25</f>
        <v/>
      </c>
      <c r="AG17" s="156">
        <f>入力シート!$AC$25</f>
        <v>0</v>
      </c>
      <c r="AH17" s="156" t="str">
        <f>入力シート!$AD$25</f>
        <v/>
      </c>
      <c r="AI17" s="156">
        <f>入力シート!$AE$25</f>
        <v>0</v>
      </c>
      <c r="AJ17" s="156" t="str">
        <f>入力シート!$AF$25</f>
        <v/>
      </c>
      <c r="AK17" s="155">
        <f>入力シート!$AG$25</f>
        <v>0</v>
      </c>
      <c r="AL17" s="155" t="str">
        <f>入力シート!$AH$25</f>
        <v/>
      </c>
      <c r="AM17" s="155">
        <f>入力シート!$AI$25</f>
        <v>0</v>
      </c>
      <c r="AN17" s="158">
        <f>入力シート!$AJ$25</f>
        <v>0</v>
      </c>
      <c r="AO17" s="155" t="str">
        <f>入力シート!$AK$25</f>
        <v/>
      </c>
      <c r="AP17" s="158">
        <f>入力シート!$AR$25</f>
        <v>0</v>
      </c>
      <c r="AQ17" s="158">
        <f>入力シート!$AV$25</f>
        <v>0</v>
      </c>
      <c r="AR17" s="158">
        <f>入力シート!$AW$25</f>
        <v>0</v>
      </c>
      <c r="AS17" s="155">
        <f>入力シート!$BF$25</f>
        <v>0</v>
      </c>
      <c r="AT17" s="155">
        <f>入力シート!$BG$25</f>
        <v>0</v>
      </c>
    </row>
    <row r="18" spans="1:46" x14ac:dyDescent="0.15">
      <c r="A18" s="155">
        <v>15</v>
      </c>
      <c r="F18" s="155" t="str">
        <f>入力シート!$B$26</f>
        <v/>
      </c>
      <c r="H18" s="155">
        <f>入力シート!$D$26</f>
        <v>0</v>
      </c>
      <c r="I18" s="155">
        <f>入力シート!$E$26</f>
        <v>0</v>
      </c>
      <c r="J18" s="155">
        <f>入力シート!$F$26</f>
        <v>0</v>
      </c>
      <c r="K18" s="157">
        <f>入力シート!$G$26</f>
        <v>0</v>
      </c>
      <c r="L18" s="19"/>
      <c r="M18" s="156" t="str">
        <f>入力シート!$I$26</f>
        <v/>
      </c>
      <c r="N18" s="156">
        <f>入力シート!$J$26</f>
        <v>0</v>
      </c>
      <c r="O18" s="156">
        <f>入力シート!$K$26</f>
        <v>0</v>
      </c>
      <c r="P18" s="156">
        <f>入力シート!$L$26</f>
        <v>0</v>
      </c>
      <c r="Q18" s="156">
        <f>入力シート!$M$26</f>
        <v>0</v>
      </c>
      <c r="R18" s="156">
        <f>入力シート!$N$26</f>
        <v>0</v>
      </c>
      <c r="S18" s="156">
        <f>入力シート!$O$26</f>
        <v>0</v>
      </c>
      <c r="T18" s="156">
        <f>入力シート!$P$26</f>
        <v>0</v>
      </c>
      <c r="U18" s="242">
        <f>入力シート!$Q$26</f>
        <v>0</v>
      </c>
      <c r="V18" s="242">
        <f>入力シート!$R$26</f>
        <v>0</v>
      </c>
      <c r="W18" s="242">
        <f>入力シート!$S$26</f>
        <v>0</v>
      </c>
      <c r="X18" s="242">
        <f>入力シート!$T$26</f>
        <v>0</v>
      </c>
      <c r="Y18" s="242">
        <f>入力シート!$U$26</f>
        <v>0</v>
      </c>
      <c r="Z18" s="242">
        <f>入力シート!$V$26</f>
        <v>0</v>
      </c>
      <c r="AA18" s="242">
        <f>入力シート!$W$26</f>
        <v>0</v>
      </c>
      <c r="AB18" s="156">
        <f>入力シート!$X$26</f>
        <v>0</v>
      </c>
      <c r="AC18" s="156">
        <f>入力シート!$Y$26</f>
        <v>0</v>
      </c>
      <c r="AD18" s="156" t="str">
        <f>入力シート!$Z$26</f>
        <v/>
      </c>
      <c r="AE18" s="156">
        <f>入力シート!$AA$26</f>
        <v>0</v>
      </c>
      <c r="AF18" s="156" t="str">
        <f>入力シート!$AB$26</f>
        <v/>
      </c>
      <c r="AG18" s="156">
        <f>入力シート!$AC$26</f>
        <v>0</v>
      </c>
      <c r="AH18" s="156" t="str">
        <f>入力シート!$AD$26</f>
        <v/>
      </c>
      <c r="AI18" s="156">
        <f>入力シート!$AE$26</f>
        <v>0</v>
      </c>
      <c r="AJ18" s="156" t="str">
        <f>入力シート!$AF$26</f>
        <v/>
      </c>
      <c r="AK18" s="155">
        <f>入力シート!$AG$26</f>
        <v>0</v>
      </c>
      <c r="AL18" s="155" t="str">
        <f>入力シート!$AH$26</f>
        <v/>
      </c>
      <c r="AM18" s="155">
        <f>入力シート!$AI$26</f>
        <v>0</v>
      </c>
      <c r="AN18" s="158">
        <f>入力シート!$AJ$26</f>
        <v>0</v>
      </c>
      <c r="AO18" s="155" t="str">
        <f>入力シート!$AK$26</f>
        <v/>
      </c>
      <c r="AP18" s="158">
        <f>入力シート!$AR$26</f>
        <v>0</v>
      </c>
      <c r="AQ18" s="158">
        <f>入力シート!$AV$26</f>
        <v>0</v>
      </c>
      <c r="AR18" s="158">
        <f>入力シート!$AW$26</f>
        <v>0</v>
      </c>
      <c r="AS18" s="155">
        <f>入力シート!$BF$26</f>
        <v>0</v>
      </c>
      <c r="AT18" s="155">
        <f>入力シート!$BG$26</f>
        <v>0</v>
      </c>
    </row>
    <row r="19" spans="1:46" x14ac:dyDescent="0.15">
      <c r="A19" s="155">
        <v>16</v>
      </c>
      <c r="F19" s="155" t="str">
        <f>入力シート!$B$27</f>
        <v/>
      </c>
      <c r="H19" s="155">
        <f>入力シート!$D$27</f>
        <v>0</v>
      </c>
      <c r="I19" s="155">
        <f>入力シート!$E$27</f>
        <v>0</v>
      </c>
      <c r="J19" s="155">
        <f>入力シート!$F$27</f>
        <v>0</v>
      </c>
      <c r="K19" s="157">
        <f>入力シート!$G$27</f>
        <v>0</v>
      </c>
      <c r="L19" s="19"/>
      <c r="M19" s="156" t="str">
        <f>入力シート!$I$27</f>
        <v/>
      </c>
      <c r="N19" s="156">
        <f>入力シート!$J$27</f>
        <v>0</v>
      </c>
      <c r="O19" s="156">
        <f>入力シート!$K$27</f>
        <v>0</v>
      </c>
      <c r="P19" s="156">
        <f>入力シート!$L$27</f>
        <v>0</v>
      </c>
      <c r="Q19" s="156">
        <f>入力シート!$M$27</f>
        <v>0</v>
      </c>
      <c r="R19" s="156">
        <f>入力シート!$N$27</f>
        <v>0</v>
      </c>
      <c r="S19" s="156">
        <f>入力シート!$O$27</f>
        <v>0</v>
      </c>
      <c r="T19" s="156">
        <f>入力シート!$P$27</f>
        <v>0</v>
      </c>
      <c r="U19" s="242">
        <f>入力シート!$Q$27</f>
        <v>0</v>
      </c>
      <c r="V19" s="242">
        <f>入力シート!$R$27</f>
        <v>0</v>
      </c>
      <c r="W19" s="242">
        <f>入力シート!$S$27</f>
        <v>0</v>
      </c>
      <c r="X19" s="242">
        <f>入力シート!$T$27</f>
        <v>0</v>
      </c>
      <c r="Y19" s="242">
        <f>入力シート!$U$27</f>
        <v>0</v>
      </c>
      <c r="Z19" s="242">
        <f>入力シート!$V$27</f>
        <v>0</v>
      </c>
      <c r="AA19" s="242">
        <f>入力シート!$W$27</f>
        <v>0</v>
      </c>
      <c r="AB19" s="156">
        <f>入力シート!$X$27</f>
        <v>0</v>
      </c>
      <c r="AC19" s="156">
        <f>入力シート!$Y$27</f>
        <v>0</v>
      </c>
      <c r="AD19" s="156" t="str">
        <f>入力シート!$Z$27</f>
        <v/>
      </c>
      <c r="AE19" s="156">
        <f>入力シート!$AA$27</f>
        <v>0</v>
      </c>
      <c r="AF19" s="156" t="str">
        <f>入力シート!$AB$27</f>
        <v/>
      </c>
      <c r="AG19" s="156">
        <f>入力シート!$AC$27</f>
        <v>0</v>
      </c>
      <c r="AH19" s="156" t="str">
        <f>入力シート!$AD$27</f>
        <v/>
      </c>
      <c r="AI19" s="156">
        <f>入力シート!$AE$27</f>
        <v>0</v>
      </c>
      <c r="AJ19" s="156" t="str">
        <f>入力シート!$AF$27</f>
        <v/>
      </c>
      <c r="AK19" s="155">
        <f>入力シート!$AG$27</f>
        <v>0</v>
      </c>
      <c r="AL19" s="155" t="str">
        <f>入力シート!$AH$27</f>
        <v/>
      </c>
      <c r="AM19" s="155">
        <f>入力シート!$AI$27</f>
        <v>0</v>
      </c>
      <c r="AN19" s="158">
        <f>入力シート!$AJ$27</f>
        <v>0</v>
      </c>
      <c r="AO19" s="155" t="str">
        <f>入力シート!$AK$27</f>
        <v/>
      </c>
      <c r="AP19" s="158">
        <f>入力シート!$AR$27</f>
        <v>0</v>
      </c>
      <c r="AQ19" s="158">
        <f>入力シート!$AV$27</f>
        <v>0</v>
      </c>
      <c r="AR19" s="158">
        <f>入力シート!$AW$27</f>
        <v>0</v>
      </c>
      <c r="AS19" s="155">
        <f>入力シート!$BF$27</f>
        <v>0</v>
      </c>
      <c r="AT19" s="155">
        <f>入力シート!$BG$27</f>
        <v>0</v>
      </c>
    </row>
    <row r="20" spans="1:46" x14ac:dyDescent="0.15">
      <c r="A20" s="155">
        <v>17</v>
      </c>
      <c r="F20" s="155" t="str">
        <f>入力シート!$B$28</f>
        <v/>
      </c>
      <c r="H20" s="155">
        <f>入力シート!$D$28</f>
        <v>0</v>
      </c>
      <c r="I20" s="155">
        <f>入力シート!$E$28</f>
        <v>0</v>
      </c>
      <c r="J20" s="155">
        <f>入力シート!$F$28</f>
        <v>0</v>
      </c>
      <c r="K20" s="157">
        <f>入力シート!$G$28</f>
        <v>0</v>
      </c>
      <c r="L20" s="19"/>
      <c r="M20" s="156" t="str">
        <f>入力シート!$I$28</f>
        <v/>
      </c>
      <c r="N20" s="156">
        <f>入力シート!$J$28</f>
        <v>0</v>
      </c>
      <c r="O20" s="156">
        <f>入力シート!$K$28</f>
        <v>0</v>
      </c>
      <c r="P20" s="156">
        <f>入力シート!$L$28</f>
        <v>0</v>
      </c>
      <c r="Q20" s="156">
        <f>入力シート!$M$28</f>
        <v>0</v>
      </c>
      <c r="R20" s="156">
        <f>入力シート!$N$28</f>
        <v>0</v>
      </c>
      <c r="S20" s="156">
        <f>入力シート!$O$28</f>
        <v>0</v>
      </c>
      <c r="T20" s="156">
        <f>入力シート!$P$28</f>
        <v>0</v>
      </c>
      <c r="U20" s="242">
        <f>入力シート!$Q$28</f>
        <v>0</v>
      </c>
      <c r="V20" s="242">
        <f>入力シート!$R$28</f>
        <v>0</v>
      </c>
      <c r="W20" s="242">
        <f>入力シート!$S$28</f>
        <v>0</v>
      </c>
      <c r="X20" s="242">
        <f>入力シート!$T$28</f>
        <v>0</v>
      </c>
      <c r="Y20" s="242">
        <f>入力シート!$U$28</f>
        <v>0</v>
      </c>
      <c r="Z20" s="242">
        <f>入力シート!$V$28</f>
        <v>0</v>
      </c>
      <c r="AA20" s="242">
        <f>入力シート!$W$28</f>
        <v>0</v>
      </c>
      <c r="AB20" s="156">
        <f>入力シート!$X$28</f>
        <v>0</v>
      </c>
      <c r="AC20" s="156">
        <f>入力シート!$Y$28</f>
        <v>0</v>
      </c>
      <c r="AD20" s="156" t="str">
        <f>入力シート!$Z$28</f>
        <v/>
      </c>
      <c r="AE20" s="156">
        <f>入力シート!$AA$28</f>
        <v>0</v>
      </c>
      <c r="AF20" s="156" t="str">
        <f>入力シート!$AB$28</f>
        <v/>
      </c>
      <c r="AG20" s="156">
        <f>入力シート!$AC$28</f>
        <v>0</v>
      </c>
      <c r="AH20" s="156" t="str">
        <f>入力シート!$AD$28</f>
        <v/>
      </c>
      <c r="AI20" s="156">
        <f>入力シート!$AE$28</f>
        <v>0</v>
      </c>
      <c r="AJ20" s="156" t="str">
        <f>入力シート!$AF$28</f>
        <v/>
      </c>
      <c r="AK20" s="155">
        <f>入力シート!$AG$28</f>
        <v>0</v>
      </c>
      <c r="AL20" s="155" t="str">
        <f>入力シート!$AH$28</f>
        <v/>
      </c>
      <c r="AM20" s="155">
        <f>入力シート!$AI$28</f>
        <v>0</v>
      </c>
      <c r="AN20" s="158">
        <f>入力シート!$AJ$28</f>
        <v>0</v>
      </c>
      <c r="AO20" s="155" t="str">
        <f>入力シート!$AK$28</f>
        <v/>
      </c>
      <c r="AP20" s="158">
        <f>入力シート!$AR$28</f>
        <v>0</v>
      </c>
      <c r="AQ20" s="158">
        <f>入力シート!$AV$28</f>
        <v>0</v>
      </c>
      <c r="AR20" s="158">
        <f>入力シート!$AW$28</f>
        <v>0</v>
      </c>
      <c r="AS20" s="155">
        <f>入力シート!$BF$28</f>
        <v>0</v>
      </c>
      <c r="AT20" s="155">
        <f>入力シート!$BG$28</f>
        <v>0</v>
      </c>
    </row>
    <row r="21" spans="1:46" x14ac:dyDescent="0.15">
      <c r="A21" s="155">
        <v>18</v>
      </c>
      <c r="F21" s="155" t="str">
        <f>入力シート!$B$29</f>
        <v/>
      </c>
      <c r="H21" s="155">
        <f>入力シート!$D$29</f>
        <v>0</v>
      </c>
      <c r="I21" s="155">
        <f>入力シート!$E$29</f>
        <v>0</v>
      </c>
      <c r="J21" s="155">
        <f>入力シート!$F$29</f>
        <v>0</v>
      </c>
      <c r="K21" s="157">
        <f>入力シート!$G$29</f>
        <v>0</v>
      </c>
      <c r="L21" s="19"/>
      <c r="M21" s="156" t="str">
        <f>入力シート!$I$29</f>
        <v/>
      </c>
      <c r="N21" s="156">
        <f>入力シート!$J$29</f>
        <v>0</v>
      </c>
      <c r="O21" s="156">
        <f>入力シート!$K$29</f>
        <v>0</v>
      </c>
      <c r="P21" s="156">
        <f>入力シート!$L$29</f>
        <v>0</v>
      </c>
      <c r="Q21" s="156">
        <f>入力シート!$M$29</f>
        <v>0</v>
      </c>
      <c r="R21" s="156">
        <f>入力シート!$N$29</f>
        <v>0</v>
      </c>
      <c r="S21" s="156">
        <f>入力シート!$O$29</f>
        <v>0</v>
      </c>
      <c r="T21" s="156">
        <f>入力シート!$P$29</f>
        <v>0</v>
      </c>
      <c r="U21" s="242">
        <f>入力シート!$Q$29</f>
        <v>0</v>
      </c>
      <c r="V21" s="242">
        <f>入力シート!$R$29</f>
        <v>0</v>
      </c>
      <c r="W21" s="242">
        <f>入力シート!$S$29</f>
        <v>0</v>
      </c>
      <c r="X21" s="242">
        <f>入力シート!$T$29</f>
        <v>0</v>
      </c>
      <c r="Y21" s="242">
        <f>入力シート!$U$29</f>
        <v>0</v>
      </c>
      <c r="Z21" s="242">
        <f>入力シート!$V$29</f>
        <v>0</v>
      </c>
      <c r="AA21" s="242">
        <f>入力シート!$W$29</f>
        <v>0</v>
      </c>
      <c r="AB21" s="156">
        <f>入力シート!$X$29</f>
        <v>0</v>
      </c>
      <c r="AC21" s="156">
        <f>入力シート!$Y$29</f>
        <v>0</v>
      </c>
      <c r="AD21" s="156" t="str">
        <f>入力シート!$Z$29</f>
        <v/>
      </c>
      <c r="AE21" s="156">
        <f>入力シート!$AA$29</f>
        <v>0</v>
      </c>
      <c r="AF21" s="156" t="str">
        <f>入力シート!$AB$29</f>
        <v/>
      </c>
      <c r="AG21" s="156">
        <f>入力シート!$AC$29</f>
        <v>0</v>
      </c>
      <c r="AH21" s="156" t="str">
        <f>入力シート!$AD$29</f>
        <v/>
      </c>
      <c r="AI21" s="156">
        <f>入力シート!$AE$29</f>
        <v>0</v>
      </c>
      <c r="AJ21" s="156" t="str">
        <f>入力シート!$AF$29</f>
        <v/>
      </c>
      <c r="AK21" s="155">
        <f>入力シート!$AG$29</f>
        <v>0</v>
      </c>
      <c r="AL21" s="155" t="str">
        <f>入力シート!$AH$29</f>
        <v/>
      </c>
      <c r="AM21" s="155">
        <f>入力シート!$AI$29</f>
        <v>0</v>
      </c>
      <c r="AN21" s="158">
        <f>入力シート!$AJ$29</f>
        <v>0</v>
      </c>
      <c r="AO21" s="155" t="str">
        <f>入力シート!$AK$29</f>
        <v/>
      </c>
      <c r="AP21" s="158">
        <f>入力シート!$AR$29</f>
        <v>0</v>
      </c>
      <c r="AQ21" s="158">
        <f>入力シート!$AV$29</f>
        <v>0</v>
      </c>
      <c r="AR21" s="158">
        <f>入力シート!$AW$29</f>
        <v>0</v>
      </c>
      <c r="AS21" s="155">
        <f>入力シート!$BF$29</f>
        <v>0</v>
      </c>
      <c r="AT21" s="155">
        <f>入力シート!$BG$29</f>
        <v>0</v>
      </c>
    </row>
    <row r="22" spans="1:46" x14ac:dyDescent="0.15">
      <c r="A22" s="155">
        <v>19</v>
      </c>
      <c r="F22" s="155" t="str">
        <f>入力シート!$B$30</f>
        <v/>
      </c>
      <c r="H22" s="155">
        <f>入力シート!$D$30</f>
        <v>0</v>
      </c>
      <c r="I22" s="155">
        <f>入力シート!$E$30</f>
        <v>0</v>
      </c>
      <c r="J22" s="155">
        <f>入力シート!$F$30</f>
        <v>0</v>
      </c>
      <c r="K22" s="157">
        <f>入力シート!$G$30</f>
        <v>0</v>
      </c>
      <c r="L22" s="19"/>
      <c r="M22" s="156" t="str">
        <f>入力シート!$I$30</f>
        <v/>
      </c>
      <c r="N22" s="156">
        <f>入力シート!$J$30</f>
        <v>0</v>
      </c>
      <c r="O22" s="156">
        <f>入力シート!$K$30</f>
        <v>0</v>
      </c>
      <c r="P22" s="156">
        <f>入力シート!$L$30</f>
        <v>0</v>
      </c>
      <c r="Q22" s="156">
        <f>入力シート!$M$30</f>
        <v>0</v>
      </c>
      <c r="R22" s="156">
        <f>入力シート!$N$30</f>
        <v>0</v>
      </c>
      <c r="S22" s="156">
        <f>入力シート!$O$30</f>
        <v>0</v>
      </c>
      <c r="T22" s="156">
        <f>入力シート!$P$30</f>
        <v>0</v>
      </c>
      <c r="U22" s="242">
        <f>入力シート!$Q$30</f>
        <v>0</v>
      </c>
      <c r="V22" s="242">
        <f>入力シート!$R$30</f>
        <v>0</v>
      </c>
      <c r="W22" s="242">
        <f>入力シート!$S$30</f>
        <v>0</v>
      </c>
      <c r="X22" s="242">
        <f>入力シート!$T$30</f>
        <v>0</v>
      </c>
      <c r="Y22" s="242">
        <f>入力シート!$U$30</f>
        <v>0</v>
      </c>
      <c r="Z22" s="156">
        <f>入力シート!$V$30</f>
        <v>0</v>
      </c>
      <c r="AA22" s="242">
        <f>入力シート!$W$30</f>
        <v>0</v>
      </c>
      <c r="AB22" s="156">
        <f>入力シート!$X$30</f>
        <v>0</v>
      </c>
      <c r="AC22" s="156">
        <f>入力シート!$Y$30</f>
        <v>0</v>
      </c>
      <c r="AD22" s="156" t="str">
        <f>入力シート!$Z$30</f>
        <v/>
      </c>
      <c r="AE22" s="156">
        <f>入力シート!$AA$30</f>
        <v>0</v>
      </c>
      <c r="AF22" s="156" t="str">
        <f>入力シート!$AB$30</f>
        <v/>
      </c>
      <c r="AG22" s="156">
        <f>入力シート!$AC$30</f>
        <v>0</v>
      </c>
      <c r="AH22" s="156" t="str">
        <f>入力シート!$AD$30</f>
        <v/>
      </c>
      <c r="AI22" s="156">
        <f>入力シート!$AE$30</f>
        <v>0</v>
      </c>
      <c r="AJ22" s="156" t="str">
        <f>入力シート!$AF$30</f>
        <v/>
      </c>
      <c r="AK22" s="155">
        <f>入力シート!$AG$30</f>
        <v>0</v>
      </c>
      <c r="AL22" s="155" t="str">
        <f>入力シート!$AH$30</f>
        <v/>
      </c>
      <c r="AM22" s="155">
        <f>入力シート!$AI$30</f>
        <v>0</v>
      </c>
      <c r="AN22" s="158">
        <f>入力シート!$AJ$30</f>
        <v>0</v>
      </c>
      <c r="AO22" s="155" t="str">
        <f>入力シート!$AK$30</f>
        <v/>
      </c>
      <c r="AP22" s="158">
        <f>入力シート!$AR$30</f>
        <v>0</v>
      </c>
      <c r="AQ22" s="158">
        <f>入力シート!$AV$30</f>
        <v>0</v>
      </c>
      <c r="AR22" s="158">
        <f>入力シート!$AW$30</f>
        <v>0</v>
      </c>
      <c r="AS22" s="155">
        <f>入力シート!$BF$30</f>
        <v>0</v>
      </c>
      <c r="AT22" s="155">
        <f>入力シート!$BG$30</f>
        <v>0</v>
      </c>
    </row>
    <row r="23" spans="1:46" x14ac:dyDescent="0.15">
      <c r="A23" s="155">
        <v>20</v>
      </c>
      <c r="F23" s="155" t="str">
        <f>入力シート!$B$31</f>
        <v/>
      </c>
      <c r="H23" s="155">
        <f>入力シート!$D$31</f>
        <v>0</v>
      </c>
      <c r="I23" s="155">
        <f>入力シート!$E$31</f>
        <v>0</v>
      </c>
      <c r="J23" s="155">
        <f>入力シート!$F$31</f>
        <v>0</v>
      </c>
      <c r="K23" s="157">
        <f>入力シート!$G$31</f>
        <v>0</v>
      </c>
      <c r="L23" s="19"/>
      <c r="M23" s="156" t="str">
        <f>入力シート!$I$31</f>
        <v/>
      </c>
      <c r="N23" s="156">
        <f>入力シート!$J$31</f>
        <v>0</v>
      </c>
      <c r="O23" s="156">
        <f>入力シート!$K$31</f>
        <v>0</v>
      </c>
      <c r="P23" s="156">
        <f>入力シート!$L$31</f>
        <v>0</v>
      </c>
      <c r="Q23" s="156">
        <f>入力シート!$M$31</f>
        <v>0</v>
      </c>
      <c r="R23" s="156">
        <f>入力シート!$N$31</f>
        <v>0</v>
      </c>
      <c r="S23" s="156">
        <f>入力シート!$O$31</f>
        <v>0</v>
      </c>
      <c r="T23" s="156">
        <f>入力シート!$P$31</f>
        <v>0</v>
      </c>
      <c r="U23" s="242">
        <f>入力シート!$Q$31</f>
        <v>0</v>
      </c>
      <c r="V23" s="242">
        <f>入力シート!$R$31</f>
        <v>0</v>
      </c>
      <c r="W23" s="242">
        <f>入力シート!$S$31</f>
        <v>0</v>
      </c>
      <c r="X23" s="242">
        <f>入力シート!$T$31</f>
        <v>0</v>
      </c>
      <c r="Y23" s="242">
        <f>入力シート!$U$31</f>
        <v>0</v>
      </c>
      <c r="Z23" s="156">
        <f>入力シート!$V$31</f>
        <v>0</v>
      </c>
      <c r="AA23" s="242">
        <f>入力シート!$W$31</f>
        <v>0</v>
      </c>
      <c r="AB23" s="156">
        <f>入力シート!$X$31</f>
        <v>0</v>
      </c>
      <c r="AC23" s="156">
        <f>入力シート!$Y$31</f>
        <v>0</v>
      </c>
      <c r="AD23" s="156" t="str">
        <f>入力シート!$Z$31</f>
        <v/>
      </c>
      <c r="AE23" s="156">
        <f>入力シート!$AA$31</f>
        <v>0</v>
      </c>
      <c r="AF23" s="156" t="str">
        <f>入力シート!$AB$31</f>
        <v/>
      </c>
      <c r="AG23" s="156">
        <f>入力シート!$AC$31</f>
        <v>0</v>
      </c>
      <c r="AH23" s="156" t="str">
        <f>入力シート!$AD$31</f>
        <v/>
      </c>
      <c r="AI23" s="156">
        <f>入力シート!$AE$31</f>
        <v>0</v>
      </c>
      <c r="AJ23" s="156" t="str">
        <f>入力シート!$AF$31</f>
        <v/>
      </c>
      <c r="AK23" s="155">
        <f>入力シート!$AG$31</f>
        <v>0</v>
      </c>
      <c r="AL23" s="155" t="str">
        <f>入力シート!$AH$31</f>
        <v/>
      </c>
      <c r="AM23" s="155">
        <f>入力シート!$AI$31</f>
        <v>0</v>
      </c>
      <c r="AN23" s="158">
        <f>入力シート!$AJ$31</f>
        <v>0</v>
      </c>
      <c r="AO23" s="155" t="str">
        <f>入力シート!$AK$31</f>
        <v/>
      </c>
      <c r="AP23" s="158">
        <f>入力シート!$AR$31</f>
        <v>0</v>
      </c>
      <c r="AQ23" s="158">
        <f>入力シート!$AV$31</f>
        <v>0</v>
      </c>
      <c r="AR23" s="158">
        <f>入力シート!$AW$31</f>
        <v>0</v>
      </c>
      <c r="AS23" s="155">
        <f>入力シート!$BF$31</f>
        <v>0</v>
      </c>
      <c r="AT23" s="155">
        <f>入力シート!$BG$31</f>
        <v>0</v>
      </c>
    </row>
    <row r="24" spans="1:46" x14ac:dyDescent="0.15">
      <c r="A24" s="155">
        <v>21</v>
      </c>
      <c r="F24" s="155" t="str">
        <f>入力シート!$B$32</f>
        <v/>
      </c>
      <c r="H24" s="155">
        <f>入力シート!$D$32</f>
        <v>0</v>
      </c>
      <c r="I24" s="155">
        <f>入力シート!$E$32</f>
        <v>0</v>
      </c>
      <c r="J24" s="155">
        <f>入力シート!$F$32</f>
        <v>0</v>
      </c>
      <c r="K24" s="157">
        <f>入力シート!$G$32</f>
        <v>0</v>
      </c>
      <c r="L24" s="19"/>
      <c r="M24" s="156" t="str">
        <f>入力シート!$I$32</f>
        <v/>
      </c>
      <c r="N24" s="156">
        <f>入力シート!$J$32</f>
        <v>0</v>
      </c>
      <c r="O24" s="156">
        <f>入力シート!$K$32</f>
        <v>0</v>
      </c>
      <c r="P24" s="156">
        <f>入力シート!$L$32</f>
        <v>0</v>
      </c>
      <c r="Q24" s="156">
        <f>入力シート!$M$32</f>
        <v>0</v>
      </c>
      <c r="R24" s="156">
        <f>入力シート!$N$32</f>
        <v>0</v>
      </c>
      <c r="S24" s="156">
        <f>入力シート!$O$32</f>
        <v>0</v>
      </c>
      <c r="T24" s="156">
        <f>入力シート!$P$32</f>
        <v>0</v>
      </c>
      <c r="U24" s="242">
        <f>入力シート!$Q$32</f>
        <v>0</v>
      </c>
      <c r="V24" s="242">
        <f>入力シート!$R$32</f>
        <v>0</v>
      </c>
      <c r="W24" s="242">
        <f>入力シート!$S$32</f>
        <v>0</v>
      </c>
      <c r="X24" s="242">
        <f>入力シート!$T$32</f>
        <v>0</v>
      </c>
      <c r="Y24" s="242">
        <f>入力シート!$U$32</f>
        <v>0</v>
      </c>
      <c r="Z24" s="156">
        <f>入力シート!$V$32</f>
        <v>0</v>
      </c>
      <c r="AA24" s="242">
        <f>入力シート!$W$32</f>
        <v>0</v>
      </c>
      <c r="AB24" s="156">
        <f>入力シート!$X$32</f>
        <v>0</v>
      </c>
      <c r="AC24" s="156">
        <f>入力シート!$Y$32</f>
        <v>0</v>
      </c>
      <c r="AD24" s="156" t="str">
        <f>入力シート!$Z$32</f>
        <v/>
      </c>
      <c r="AE24" s="156">
        <f>入力シート!$AA$32</f>
        <v>0</v>
      </c>
      <c r="AF24" s="156" t="str">
        <f>入力シート!$AB$32</f>
        <v/>
      </c>
      <c r="AG24" s="156">
        <f>入力シート!$AC$32</f>
        <v>0</v>
      </c>
      <c r="AH24" s="156" t="str">
        <f>入力シート!$AD$32</f>
        <v/>
      </c>
      <c r="AI24" s="156">
        <f>入力シート!$AE$32</f>
        <v>0</v>
      </c>
      <c r="AJ24" s="156" t="str">
        <f>入力シート!$AF$32</f>
        <v/>
      </c>
      <c r="AK24" s="155">
        <f>入力シート!$AG$32</f>
        <v>0</v>
      </c>
      <c r="AL24" s="155" t="str">
        <f>入力シート!$AH$32</f>
        <v/>
      </c>
      <c r="AM24" s="155">
        <f>入力シート!$AI$32</f>
        <v>0</v>
      </c>
      <c r="AN24" s="158">
        <f>入力シート!$AJ$32</f>
        <v>0</v>
      </c>
      <c r="AO24" s="155" t="str">
        <f>入力シート!$AK$32</f>
        <v/>
      </c>
      <c r="AP24" s="158">
        <f>入力シート!$AR$32</f>
        <v>0</v>
      </c>
      <c r="AQ24" s="158">
        <f>入力シート!$AV$32</f>
        <v>0</v>
      </c>
      <c r="AR24" s="158">
        <f>入力シート!$AW$32</f>
        <v>0</v>
      </c>
      <c r="AS24" s="155">
        <f>入力シート!$BF$32</f>
        <v>0</v>
      </c>
      <c r="AT24" s="155">
        <f>入力シート!$BG$32</f>
        <v>0</v>
      </c>
    </row>
    <row r="25" spans="1:46" x14ac:dyDescent="0.15">
      <c r="A25" s="155">
        <v>22</v>
      </c>
      <c r="F25" s="155" t="str">
        <f>入力シート!$B$33</f>
        <v/>
      </c>
      <c r="H25" s="155">
        <f>入力シート!$D$33</f>
        <v>0</v>
      </c>
      <c r="I25" s="155">
        <f>入力シート!$E$33</f>
        <v>0</v>
      </c>
      <c r="J25" s="155">
        <f>入力シート!$F$33</f>
        <v>0</v>
      </c>
      <c r="K25" s="157">
        <f>入力シート!$G$33</f>
        <v>0</v>
      </c>
      <c r="L25" s="19"/>
      <c r="M25" s="156" t="str">
        <f>入力シート!$I$33</f>
        <v/>
      </c>
      <c r="N25" s="156">
        <f>入力シート!$J$33</f>
        <v>0</v>
      </c>
      <c r="O25" s="156">
        <f>入力シート!$K$33</f>
        <v>0</v>
      </c>
      <c r="P25" s="156">
        <f>入力シート!$L$33</f>
        <v>0</v>
      </c>
      <c r="Q25" s="156">
        <f>入力シート!$M$33</f>
        <v>0</v>
      </c>
      <c r="R25" s="156">
        <f>入力シート!$N$33</f>
        <v>0</v>
      </c>
      <c r="S25" s="156">
        <f>入力シート!$O$33</f>
        <v>0</v>
      </c>
      <c r="T25" s="156">
        <f>入力シート!$P$33</f>
        <v>0</v>
      </c>
      <c r="U25" s="242">
        <f>入力シート!$Q$33</f>
        <v>0</v>
      </c>
      <c r="V25" s="242">
        <f>入力シート!$R$33</f>
        <v>0</v>
      </c>
      <c r="W25" s="242">
        <f>入力シート!$S$33</f>
        <v>0</v>
      </c>
      <c r="X25" s="242">
        <f>入力シート!$T$33</f>
        <v>0</v>
      </c>
      <c r="Y25" s="242">
        <f>入力シート!$U$33</f>
        <v>0</v>
      </c>
      <c r="Z25" s="156">
        <f>入力シート!$V$33</f>
        <v>0</v>
      </c>
      <c r="AA25" s="242">
        <f>入力シート!$W$33</f>
        <v>0</v>
      </c>
      <c r="AB25" s="156">
        <f>入力シート!$X$33</f>
        <v>0</v>
      </c>
      <c r="AC25" s="156">
        <f>入力シート!$Y$33</f>
        <v>0</v>
      </c>
      <c r="AD25" s="156" t="str">
        <f>入力シート!$Z$33</f>
        <v/>
      </c>
      <c r="AE25" s="156">
        <f>入力シート!$AA$33</f>
        <v>0</v>
      </c>
      <c r="AF25" s="156" t="str">
        <f>入力シート!$AB$33</f>
        <v/>
      </c>
      <c r="AG25" s="156">
        <f>入力シート!$AC$33</f>
        <v>0</v>
      </c>
      <c r="AH25" s="156" t="str">
        <f>入力シート!$AD$33</f>
        <v/>
      </c>
      <c r="AI25" s="156">
        <f>入力シート!$AE$33</f>
        <v>0</v>
      </c>
      <c r="AJ25" s="156" t="str">
        <f>入力シート!$AF$33</f>
        <v/>
      </c>
      <c r="AK25" s="155">
        <f>入力シート!$AG$33</f>
        <v>0</v>
      </c>
      <c r="AL25" s="155" t="str">
        <f>入力シート!$AH$33</f>
        <v/>
      </c>
      <c r="AM25" s="155">
        <f>入力シート!$AI$33</f>
        <v>0</v>
      </c>
      <c r="AN25" s="158">
        <f>入力シート!$AJ$33</f>
        <v>0</v>
      </c>
      <c r="AO25" s="155" t="str">
        <f>入力シート!$AK$33</f>
        <v/>
      </c>
      <c r="AP25" s="158">
        <f>入力シート!$AR$33</f>
        <v>0</v>
      </c>
      <c r="AQ25" s="158">
        <f>入力シート!$AV$33</f>
        <v>0</v>
      </c>
      <c r="AR25" s="158">
        <f>入力シート!$AW$33</f>
        <v>0</v>
      </c>
      <c r="AS25" s="155">
        <f>入力シート!$BF$33</f>
        <v>0</v>
      </c>
      <c r="AT25" s="155">
        <f>入力シート!$BG$33</f>
        <v>0</v>
      </c>
    </row>
    <row r="26" spans="1:46" x14ac:dyDescent="0.15">
      <c r="A26" s="155">
        <v>23</v>
      </c>
      <c r="F26" s="155" t="str">
        <f>入力シート!$B$34</f>
        <v/>
      </c>
      <c r="H26" s="155">
        <f>入力シート!$D$34</f>
        <v>0</v>
      </c>
      <c r="I26" s="155">
        <f>入力シート!$E$34</f>
        <v>0</v>
      </c>
      <c r="J26" s="155">
        <f>入力シート!$F$34</f>
        <v>0</v>
      </c>
      <c r="K26" s="157">
        <f>入力シート!$G$34</f>
        <v>0</v>
      </c>
      <c r="L26" s="19"/>
      <c r="M26" s="156" t="str">
        <f>入力シート!$I$34</f>
        <v/>
      </c>
      <c r="N26" s="156">
        <f>入力シート!$J$34</f>
        <v>0</v>
      </c>
      <c r="O26" s="156">
        <f>入力シート!$K$34</f>
        <v>0</v>
      </c>
      <c r="P26" s="156">
        <f>入力シート!$L$34</f>
        <v>0</v>
      </c>
      <c r="Q26" s="156">
        <f>入力シート!$M$34</f>
        <v>0</v>
      </c>
      <c r="R26" s="156">
        <f>入力シート!$N$34</f>
        <v>0</v>
      </c>
      <c r="S26" s="156">
        <f>入力シート!$O$34</f>
        <v>0</v>
      </c>
      <c r="T26" s="156">
        <f>入力シート!$P$34</f>
        <v>0</v>
      </c>
      <c r="U26" s="242">
        <f>入力シート!$Q$34</f>
        <v>0</v>
      </c>
      <c r="V26" s="242">
        <f>入力シート!$R$34</f>
        <v>0</v>
      </c>
      <c r="W26" s="242">
        <f>入力シート!$S$34</f>
        <v>0</v>
      </c>
      <c r="X26" s="242">
        <f>入力シート!$T$34</f>
        <v>0</v>
      </c>
      <c r="Y26" s="242">
        <f>入力シート!$U$34</f>
        <v>0</v>
      </c>
      <c r="Z26" s="156">
        <f>入力シート!$V$34</f>
        <v>0</v>
      </c>
      <c r="AA26" s="242">
        <f>入力シート!$W$34</f>
        <v>0</v>
      </c>
      <c r="AB26" s="156">
        <f>入力シート!$X$34</f>
        <v>0</v>
      </c>
      <c r="AC26" s="156">
        <f>入力シート!$Y$34</f>
        <v>0</v>
      </c>
      <c r="AD26" s="156" t="str">
        <f>入力シート!$Z$34</f>
        <v/>
      </c>
      <c r="AE26" s="156">
        <f>入力シート!$AA$34</f>
        <v>0</v>
      </c>
      <c r="AF26" s="156" t="str">
        <f>入力シート!$AB$34</f>
        <v/>
      </c>
      <c r="AG26" s="156">
        <f>入力シート!$AC$34</f>
        <v>0</v>
      </c>
      <c r="AH26" s="156" t="str">
        <f>入力シート!$AD$34</f>
        <v/>
      </c>
      <c r="AI26" s="156">
        <f>入力シート!$AE$34</f>
        <v>0</v>
      </c>
      <c r="AJ26" s="156" t="str">
        <f>入力シート!$AF$34</f>
        <v/>
      </c>
      <c r="AK26" s="155">
        <f>入力シート!$AG$34</f>
        <v>0</v>
      </c>
      <c r="AL26" s="155" t="str">
        <f>入力シート!$AH$34</f>
        <v/>
      </c>
      <c r="AM26" s="155">
        <f>入力シート!$AI$34</f>
        <v>0</v>
      </c>
      <c r="AN26" s="158">
        <f>入力シート!$AJ$34</f>
        <v>0</v>
      </c>
      <c r="AO26" s="155" t="str">
        <f>入力シート!$AK$34</f>
        <v/>
      </c>
      <c r="AP26" s="158">
        <f>入力シート!$AR$34</f>
        <v>0</v>
      </c>
      <c r="AQ26" s="158">
        <f>入力シート!$AV$34</f>
        <v>0</v>
      </c>
      <c r="AR26" s="158">
        <f>入力シート!$AW$34</f>
        <v>0</v>
      </c>
      <c r="AS26" s="155">
        <f>入力シート!$BF$34</f>
        <v>0</v>
      </c>
      <c r="AT26" s="155">
        <f>入力シート!$BG$34</f>
        <v>0</v>
      </c>
    </row>
    <row r="27" spans="1:46" x14ac:dyDescent="0.15">
      <c r="A27" s="155">
        <v>24</v>
      </c>
      <c r="F27" s="155" t="str">
        <f>入力シート!$B$35</f>
        <v/>
      </c>
      <c r="H27" s="155">
        <f>入力シート!$D$35</f>
        <v>0</v>
      </c>
      <c r="I27" s="155">
        <f>入力シート!$E$35</f>
        <v>0</v>
      </c>
      <c r="J27" s="155">
        <f>入力シート!$F$35</f>
        <v>0</v>
      </c>
      <c r="K27" s="157">
        <f>入力シート!$G$35</f>
        <v>0</v>
      </c>
      <c r="L27" s="19"/>
      <c r="M27" s="156" t="str">
        <f>入力シート!$I$35</f>
        <v/>
      </c>
      <c r="N27" s="156">
        <f>入力シート!$J$35</f>
        <v>0</v>
      </c>
      <c r="O27" s="156">
        <f>入力シート!$K$35</f>
        <v>0</v>
      </c>
      <c r="P27" s="156">
        <f>入力シート!$L$35</f>
        <v>0</v>
      </c>
      <c r="Q27" s="156">
        <f>入力シート!$M$35</f>
        <v>0</v>
      </c>
      <c r="R27" s="156">
        <f>入力シート!$N$35</f>
        <v>0</v>
      </c>
      <c r="S27" s="156">
        <f>入力シート!$O$35</f>
        <v>0</v>
      </c>
      <c r="T27" s="156">
        <f>入力シート!$P$35</f>
        <v>0</v>
      </c>
      <c r="U27" s="242">
        <f>入力シート!$Q$35</f>
        <v>0</v>
      </c>
      <c r="V27" s="242">
        <f>入力シート!$R$35</f>
        <v>0</v>
      </c>
      <c r="W27" s="242">
        <f>入力シート!$S$35</f>
        <v>0</v>
      </c>
      <c r="X27" s="242">
        <f>入力シート!$T$35</f>
        <v>0</v>
      </c>
      <c r="Y27" s="242">
        <f>入力シート!$U$35</f>
        <v>0</v>
      </c>
      <c r="Z27" s="156">
        <f>入力シート!$V$35</f>
        <v>0</v>
      </c>
      <c r="AA27" s="242">
        <f>入力シート!$W$35</f>
        <v>0</v>
      </c>
      <c r="AB27" s="156">
        <f>入力シート!$X$35</f>
        <v>0</v>
      </c>
      <c r="AC27" s="156">
        <f>入力シート!$Y$35</f>
        <v>0</v>
      </c>
      <c r="AD27" s="156" t="str">
        <f>入力シート!$Z$35</f>
        <v/>
      </c>
      <c r="AE27" s="156">
        <f>入力シート!$AA$35</f>
        <v>0</v>
      </c>
      <c r="AF27" s="156" t="str">
        <f>入力シート!$AB$35</f>
        <v/>
      </c>
      <c r="AG27" s="156">
        <f>入力シート!$AC$35</f>
        <v>0</v>
      </c>
      <c r="AH27" s="156" t="str">
        <f>入力シート!$AD$35</f>
        <v/>
      </c>
      <c r="AI27" s="156">
        <f>入力シート!$AE$35</f>
        <v>0</v>
      </c>
      <c r="AJ27" s="156" t="str">
        <f>入力シート!$AF$35</f>
        <v/>
      </c>
      <c r="AK27" s="155">
        <f>入力シート!$AG$35</f>
        <v>0</v>
      </c>
      <c r="AL27" s="155" t="str">
        <f>入力シート!$AH$35</f>
        <v/>
      </c>
      <c r="AM27" s="155">
        <f>入力シート!$AI$35</f>
        <v>0</v>
      </c>
      <c r="AN27" s="158">
        <f>入力シート!$AJ$35</f>
        <v>0</v>
      </c>
      <c r="AO27" s="155" t="str">
        <f>入力シート!$AK$35</f>
        <v/>
      </c>
      <c r="AP27" s="158">
        <f>入力シート!$AR$35</f>
        <v>0</v>
      </c>
      <c r="AQ27" s="158">
        <f>入力シート!$AV$35</f>
        <v>0</v>
      </c>
      <c r="AR27" s="158">
        <f>入力シート!$AW$35</f>
        <v>0</v>
      </c>
      <c r="AS27" s="155">
        <f>入力シート!$BF$35</f>
        <v>0</v>
      </c>
      <c r="AT27" s="155">
        <f>入力シート!$BG$35</f>
        <v>0</v>
      </c>
    </row>
    <row r="28" spans="1:46" x14ac:dyDescent="0.15">
      <c r="A28" s="155">
        <v>25</v>
      </c>
      <c r="F28" s="155" t="str">
        <f>入力シート!$B$36</f>
        <v/>
      </c>
      <c r="H28" s="155">
        <f>入力シート!$D$36</f>
        <v>0</v>
      </c>
      <c r="I28" s="155">
        <f>入力シート!$E$36</f>
        <v>0</v>
      </c>
      <c r="J28" s="155">
        <f>入力シート!$F$36</f>
        <v>0</v>
      </c>
      <c r="K28" s="157">
        <f>入力シート!$G$36</f>
        <v>0</v>
      </c>
      <c r="L28" s="19"/>
      <c r="M28" s="156" t="str">
        <f>入力シート!$I$36</f>
        <v/>
      </c>
      <c r="N28" s="156">
        <f>入力シート!$J$36</f>
        <v>0</v>
      </c>
      <c r="O28" s="156">
        <f>入力シート!$K$36</f>
        <v>0</v>
      </c>
      <c r="P28" s="156">
        <f>入力シート!$L$36</f>
        <v>0</v>
      </c>
      <c r="Q28" s="156">
        <f>入力シート!$M$36</f>
        <v>0</v>
      </c>
      <c r="R28" s="156">
        <f>入力シート!$N$36</f>
        <v>0</v>
      </c>
      <c r="S28" s="156">
        <f>入力シート!$O$36</f>
        <v>0</v>
      </c>
      <c r="T28" s="156">
        <f>入力シート!$P$36</f>
        <v>0</v>
      </c>
      <c r="U28" s="242">
        <f>入力シート!$Q$36</f>
        <v>0</v>
      </c>
      <c r="V28" s="242">
        <f>入力シート!$R$36</f>
        <v>0</v>
      </c>
      <c r="W28" s="242">
        <f>入力シート!$S$36</f>
        <v>0</v>
      </c>
      <c r="X28" s="242">
        <f>入力シート!$T$36</f>
        <v>0</v>
      </c>
      <c r="Y28" s="242">
        <f>入力シート!$U$36</f>
        <v>0</v>
      </c>
      <c r="Z28" s="156">
        <f>入力シート!$V$36</f>
        <v>0</v>
      </c>
      <c r="AA28" s="242">
        <f>入力シート!$W$36</f>
        <v>0</v>
      </c>
      <c r="AB28" s="156">
        <f>入力シート!$X$36</f>
        <v>0</v>
      </c>
      <c r="AC28" s="156">
        <f>入力シート!$Y$36</f>
        <v>0</v>
      </c>
      <c r="AD28" s="156" t="str">
        <f>入力シート!$Z$36</f>
        <v/>
      </c>
      <c r="AE28" s="156">
        <f>入力シート!$AA$36</f>
        <v>0</v>
      </c>
      <c r="AF28" s="156" t="str">
        <f>入力シート!$AB$36</f>
        <v/>
      </c>
      <c r="AG28" s="156">
        <f>入力シート!$AC$36</f>
        <v>0</v>
      </c>
      <c r="AH28" s="156" t="str">
        <f>入力シート!$AD$36</f>
        <v/>
      </c>
      <c r="AI28" s="156">
        <f>入力シート!$AE$36</f>
        <v>0</v>
      </c>
      <c r="AJ28" s="156" t="str">
        <f>入力シート!$AF$36</f>
        <v/>
      </c>
      <c r="AK28" s="155">
        <f>入力シート!$AG$36</f>
        <v>0</v>
      </c>
      <c r="AL28" s="155" t="str">
        <f>入力シート!$AH$36</f>
        <v/>
      </c>
      <c r="AM28" s="155">
        <f>入力シート!$AI$36</f>
        <v>0</v>
      </c>
      <c r="AN28" s="158">
        <f>入力シート!$AJ$36</f>
        <v>0</v>
      </c>
      <c r="AO28" s="155" t="str">
        <f>入力シート!$AK$36</f>
        <v/>
      </c>
      <c r="AP28" s="158">
        <f>入力シート!$AR$36</f>
        <v>0</v>
      </c>
      <c r="AQ28" s="158">
        <f>入力シート!$AV$36</f>
        <v>0</v>
      </c>
      <c r="AR28" s="158">
        <f>入力シート!$AW$36</f>
        <v>0</v>
      </c>
      <c r="AS28" s="155">
        <f>入力シート!$BF$36</f>
        <v>0</v>
      </c>
      <c r="AT28" s="155">
        <f>入力シート!$BG$36</f>
        <v>0</v>
      </c>
    </row>
    <row r="29" spans="1:46" x14ac:dyDescent="0.15">
      <c r="A29" s="155">
        <v>26</v>
      </c>
      <c r="F29" s="155" t="str">
        <f>入力シート!$B$37</f>
        <v/>
      </c>
      <c r="H29" s="155">
        <f>入力シート!$D$37</f>
        <v>0</v>
      </c>
      <c r="I29" s="155">
        <f>入力シート!$E$37</f>
        <v>0</v>
      </c>
      <c r="J29" s="155">
        <f>入力シート!$F$37</f>
        <v>0</v>
      </c>
      <c r="K29" s="157">
        <f>入力シート!$G$37</f>
        <v>0</v>
      </c>
      <c r="L29" s="19"/>
      <c r="M29" s="156" t="str">
        <f>入力シート!$I$37</f>
        <v/>
      </c>
      <c r="N29" s="156">
        <f>入力シート!$J$37</f>
        <v>0</v>
      </c>
      <c r="O29" s="156">
        <f>入力シート!$K$37</f>
        <v>0</v>
      </c>
      <c r="P29" s="156">
        <f>入力シート!$L$37</f>
        <v>0</v>
      </c>
      <c r="Q29" s="156">
        <f>入力シート!$M$37</f>
        <v>0</v>
      </c>
      <c r="R29" s="156">
        <f>入力シート!$N$37</f>
        <v>0</v>
      </c>
      <c r="S29" s="156">
        <f>入力シート!$O$37</f>
        <v>0</v>
      </c>
      <c r="T29" s="156">
        <f>入力シート!$P$37</f>
        <v>0</v>
      </c>
      <c r="U29" s="242">
        <f>入力シート!$Q$37</f>
        <v>0</v>
      </c>
      <c r="V29" s="242">
        <f>入力シート!$R$37</f>
        <v>0</v>
      </c>
      <c r="W29" s="242">
        <f>入力シート!$S$37</f>
        <v>0</v>
      </c>
      <c r="X29" s="242">
        <f>入力シート!$T$37</f>
        <v>0</v>
      </c>
      <c r="Y29" s="242">
        <f>入力シート!$U$37</f>
        <v>0</v>
      </c>
      <c r="Z29" s="156">
        <f>入力シート!$V$37</f>
        <v>0</v>
      </c>
      <c r="AA29" s="242">
        <f>入力シート!$W$37</f>
        <v>0</v>
      </c>
      <c r="AB29" s="156">
        <f>入力シート!$X$37</f>
        <v>0</v>
      </c>
      <c r="AC29" s="156">
        <f>入力シート!$Y$37</f>
        <v>0</v>
      </c>
      <c r="AD29" s="156" t="str">
        <f>入力シート!$Z$37</f>
        <v/>
      </c>
      <c r="AE29" s="156">
        <f>入力シート!$AA$37</f>
        <v>0</v>
      </c>
      <c r="AF29" s="156" t="str">
        <f>入力シート!$AB$37</f>
        <v/>
      </c>
      <c r="AG29" s="156">
        <f>入力シート!$AC$37</f>
        <v>0</v>
      </c>
      <c r="AH29" s="156" t="str">
        <f>入力シート!$AD$37</f>
        <v/>
      </c>
      <c r="AI29" s="156">
        <f>入力シート!$AE$37</f>
        <v>0</v>
      </c>
      <c r="AJ29" s="156" t="str">
        <f>入力シート!$AF$37</f>
        <v/>
      </c>
      <c r="AK29" s="155">
        <f>入力シート!$AG$37</f>
        <v>0</v>
      </c>
      <c r="AL29" s="155" t="str">
        <f>入力シート!$AH$37</f>
        <v/>
      </c>
      <c r="AM29" s="155">
        <f>入力シート!$AI$37</f>
        <v>0</v>
      </c>
      <c r="AN29" s="158">
        <f>入力シート!$AJ$37</f>
        <v>0</v>
      </c>
      <c r="AO29" s="155" t="str">
        <f>入力シート!$AK$37</f>
        <v/>
      </c>
      <c r="AP29" s="158">
        <f>入力シート!$AR$37</f>
        <v>0</v>
      </c>
      <c r="AQ29" s="158">
        <f>入力シート!$AV$37</f>
        <v>0</v>
      </c>
      <c r="AR29" s="158">
        <f>入力シート!$AW$37</f>
        <v>0</v>
      </c>
      <c r="AS29" s="155">
        <f>入力シート!$BF$37</f>
        <v>0</v>
      </c>
      <c r="AT29" s="155">
        <f>入力シート!$BG$37</f>
        <v>0</v>
      </c>
    </row>
    <row r="30" spans="1:46" x14ac:dyDescent="0.15">
      <c r="A30" s="155">
        <v>27</v>
      </c>
      <c r="F30" s="155" t="str">
        <f>入力シート!$B$38</f>
        <v/>
      </c>
      <c r="H30" s="155">
        <f>入力シート!$D$38</f>
        <v>0</v>
      </c>
      <c r="I30" s="155">
        <f>入力シート!$E$38</f>
        <v>0</v>
      </c>
      <c r="J30" s="155">
        <f>入力シート!$F$38</f>
        <v>0</v>
      </c>
      <c r="K30" s="157">
        <f>入力シート!$G$38</f>
        <v>0</v>
      </c>
      <c r="L30" s="19"/>
      <c r="M30" s="156" t="str">
        <f>入力シート!$I$38</f>
        <v/>
      </c>
      <c r="N30" s="156">
        <f>入力シート!$J$38</f>
        <v>0</v>
      </c>
      <c r="O30" s="156">
        <f>入力シート!$K$38</f>
        <v>0</v>
      </c>
      <c r="P30" s="156">
        <f>入力シート!$L$38</f>
        <v>0</v>
      </c>
      <c r="Q30" s="156">
        <f>入力シート!$M$38</f>
        <v>0</v>
      </c>
      <c r="R30" s="156">
        <f>入力シート!$N$38</f>
        <v>0</v>
      </c>
      <c r="S30" s="156">
        <f>入力シート!$O$38</f>
        <v>0</v>
      </c>
      <c r="T30" s="156">
        <f>入力シート!$P$38</f>
        <v>0</v>
      </c>
      <c r="U30" s="242">
        <f>入力シート!$Q$38</f>
        <v>0</v>
      </c>
      <c r="V30" s="242">
        <f>入力シート!$R$38</f>
        <v>0</v>
      </c>
      <c r="W30" s="242">
        <f>入力シート!$S$38</f>
        <v>0</v>
      </c>
      <c r="X30" s="242">
        <f>入力シート!$T$38</f>
        <v>0</v>
      </c>
      <c r="Y30" s="242">
        <f>入力シート!$U$38</f>
        <v>0</v>
      </c>
      <c r="Z30" s="156">
        <f>入力シート!$V$38</f>
        <v>0</v>
      </c>
      <c r="AA30" s="242">
        <f>入力シート!$W$38</f>
        <v>0</v>
      </c>
      <c r="AB30" s="156">
        <f>入力シート!$X$38</f>
        <v>0</v>
      </c>
      <c r="AC30" s="156">
        <f>入力シート!$Y$38</f>
        <v>0</v>
      </c>
      <c r="AD30" s="156" t="str">
        <f>入力シート!$Z$38</f>
        <v/>
      </c>
      <c r="AE30" s="156">
        <f>入力シート!$AA$38</f>
        <v>0</v>
      </c>
      <c r="AF30" s="156" t="str">
        <f>入力シート!$AB$38</f>
        <v/>
      </c>
      <c r="AG30" s="156">
        <f>入力シート!$AC$38</f>
        <v>0</v>
      </c>
      <c r="AH30" s="156" t="str">
        <f>入力シート!$AD$38</f>
        <v/>
      </c>
      <c r="AI30" s="156">
        <f>入力シート!$AE$38</f>
        <v>0</v>
      </c>
      <c r="AJ30" s="156" t="str">
        <f>入力シート!$AF$38</f>
        <v/>
      </c>
      <c r="AK30" s="155">
        <f>入力シート!$AG$38</f>
        <v>0</v>
      </c>
      <c r="AL30" s="155" t="str">
        <f>入力シート!$AH$38</f>
        <v/>
      </c>
      <c r="AM30" s="155">
        <f>入力シート!$AI$38</f>
        <v>0</v>
      </c>
      <c r="AN30" s="158">
        <f>入力シート!$AJ$38</f>
        <v>0</v>
      </c>
      <c r="AO30" s="155" t="str">
        <f>入力シート!$AK$38</f>
        <v/>
      </c>
      <c r="AP30" s="158">
        <f>入力シート!$AR$38</f>
        <v>0</v>
      </c>
      <c r="AQ30" s="158">
        <f>入力シート!$AV$38</f>
        <v>0</v>
      </c>
      <c r="AR30" s="158">
        <f>入力シート!$AW$38</f>
        <v>0</v>
      </c>
      <c r="AS30" s="155">
        <f>入力シート!$BF$38</f>
        <v>0</v>
      </c>
      <c r="AT30" s="155">
        <f>入力シート!$BG$38</f>
        <v>0</v>
      </c>
    </row>
    <row r="31" spans="1:46" x14ac:dyDescent="0.15">
      <c r="A31" s="155">
        <v>28</v>
      </c>
      <c r="F31" s="155" t="str">
        <f>入力シート!$B$39</f>
        <v/>
      </c>
      <c r="H31" s="155">
        <f>入力シート!$D$39</f>
        <v>0</v>
      </c>
      <c r="I31" s="155">
        <f>入力シート!$E$39</f>
        <v>0</v>
      </c>
      <c r="J31" s="155">
        <f>入力シート!$F$39</f>
        <v>0</v>
      </c>
      <c r="K31" s="157">
        <f>入力シート!$G$39</f>
        <v>0</v>
      </c>
      <c r="L31" s="19"/>
      <c r="M31" s="156" t="str">
        <f>入力シート!$I$39</f>
        <v/>
      </c>
      <c r="N31" s="156">
        <f>入力シート!$J$39</f>
        <v>0</v>
      </c>
      <c r="O31" s="156">
        <f>入力シート!$K$39</f>
        <v>0</v>
      </c>
      <c r="P31" s="156">
        <f>入力シート!$L$39</f>
        <v>0</v>
      </c>
      <c r="Q31" s="156">
        <f>入力シート!$M$39</f>
        <v>0</v>
      </c>
      <c r="R31" s="156">
        <f>入力シート!$N$39</f>
        <v>0</v>
      </c>
      <c r="S31" s="156">
        <f>入力シート!$O$39</f>
        <v>0</v>
      </c>
      <c r="T31" s="156">
        <f>入力シート!$P$39</f>
        <v>0</v>
      </c>
      <c r="U31" s="242">
        <f>入力シート!$Q$39</f>
        <v>0</v>
      </c>
      <c r="V31" s="242">
        <f>入力シート!$R$39</f>
        <v>0</v>
      </c>
      <c r="W31" s="242">
        <f>入力シート!$S$39</f>
        <v>0</v>
      </c>
      <c r="X31" s="242">
        <f>入力シート!$T$39</f>
        <v>0</v>
      </c>
      <c r="Y31" s="242">
        <f>入力シート!$U$39</f>
        <v>0</v>
      </c>
      <c r="Z31" s="156">
        <f>入力シート!$V$39</f>
        <v>0</v>
      </c>
      <c r="AA31" s="242">
        <f>入力シート!$W$39</f>
        <v>0</v>
      </c>
      <c r="AB31" s="156">
        <f>入力シート!$X$39</f>
        <v>0</v>
      </c>
      <c r="AC31" s="156">
        <f>入力シート!$Y$39</f>
        <v>0</v>
      </c>
      <c r="AD31" s="156" t="str">
        <f>入力シート!$Z$39</f>
        <v/>
      </c>
      <c r="AE31" s="156">
        <f>入力シート!$AA$39</f>
        <v>0</v>
      </c>
      <c r="AF31" s="156" t="str">
        <f>入力シート!$AB$39</f>
        <v/>
      </c>
      <c r="AG31" s="156">
        <f>入力シート!$AC$39</f>
        <v>0</v>
      </c>
      <c r="AH31" s="156" t="str">
        <f>入力シート!$AD$39</f>
        <v/>
      </c>
      <c r="AI31" s="156">
        <f>入力シート!$AE$39</f>
        <v>0</v>
      </c>
      <c r="AJ31" s="156" t="str">
        <f>入力シート!$AF$39</f>
        <v/>
      </c>
      <c r="AK31" s="155">
        <f>入力シート!$AG$39</f>
        <v>0</v>
      </c>
      <c r="AL31" s="155" t="str">
        <f>入力シート!$AH$39</f>
        <v/>
      </c>
      <c r="AM31" s="155">
        <f>入力シート!$AI$39</f>
        <v>0</v>
      </c>
      <c r="AN31" s="158">
        <f>入力シート!$AJ$39</f>
        <v>0</v>
      </c>
      <c r="AO31" s="155" t="str">
        <f>入力シート!$AK$39</f>
        <v/>
      </c>
      <c r="AP31" s="158">
        <f>入力シート!$AR$39</f>
        <v>0</v>
      </c>
      <c r="AQ31" s="158">
        <f>入力シート!$AV$39</f>
        <v>0</v>
      </c>
      <c r="AR31" s="158">
        <f>入力シート!$AW$39</f>
        <v>0</v>
      </c>
      <c r="AS31" s="155">
        <f>入力シート!$BF$39</f>
        <v>0</v>
      </c>
      <c r="AT31" s="155">
        <f>入力シート!$BG$39</f>
        <v>0</v>
      </c>
    </row>
    <row r="32" spans="1:46" x14ac:dyDescent="0.15">
      <c r="A32" s="155">
        <v>29</v>
      </c>
      <c r="F32" s="155" t="str">
        <f>入力シート!$B$40</f>
        <v/>
      </c>
      <c r="H32" s="155">
        <f>入力シート!$D$40</f>
        <v>0</v>
      </c>
      <c r="I32" s="155">
        <f>入力シート!$E$40</f>
        <v>0</v>
      </c>
      <c r="J32" s="155">
        <f>入力シート!$F$40</f>
        <v>0</v>
      </c>
      <c r="K32" s="157">
        <f>入力シート!$G$40</f>
        <v>0</v>
      </c>
      <c r="L32" s="19"/>
      <c r="M32" s="156" t="str">
        <f>入力シート!$I$40</f>
        <v/>
      </c>
      <c r="N32" s="156">
        <f>入力シート!$J$40</f>
        <v>0</v>
      </c>
      <c r="O32" s="156">
        <f>入力シート!$K$40</f>
        <v>0</v>
      </c>
      <c r="P32" s="156">
        <f>入力シート!$L$40</f>
        <v>0</v>
      </c>
      <c r="Q32" s="156">
        <f>入力シート!$M$40</f>
        <v>0</v>
      </c>
      <c r="R32" s="156">
        <f>入力シート!$N$40</f>
        <v>0</v>
      </c>
      <c r="S32" s="156">
        <f>入力シート!$O$40</f>
        <v>0</v>
      </c>
      <c r="T32" s="156">
        <f>入力シート!$P$40</f>
        <v>0</v>
      </c>
      <c r="U32" s="242">
        <f>入力シート!$Q$40</f>
        <v>0</v>
      </c>
      <c r="V32" s="242">
        <f>入力シート!$R$40</f>
        <v>0</v>
      </c>
      <c r="W32" s="242">
        <f>入力シート!$S$40</f>
        <v>0</v>
      </c>
      <c r="X32" s="242">
        <f>入力シート!$T$40</f>
        <v>0</v>
      </c>
      <c r="Y32" s="242">
        <f>入力シート!$U$40</f>
        <v>0</v>
      </c>
      <c r="Z32" s="156">
        <f>入力シート!$V$40</f>
        <v>0</v>
      </c>
      <c r="AA32" s="242">
        <f>入力シート!$W$40</f>
        <v>0</v>
      </c>
      <c r="AB32" s="156">
        <f>入力シート!$X$40</f>
        <v>0</v>
      </c>
      <c r="AC32" s="156">
        <f>入力シート!$Y$40</f>
        <v>0</v>
      </c>
      <c r="AD32" s="156" t="str">
        <f>入力シート!$Z$40</f>
        <v/>
      </c>
      <c r="AE32" s="156">
        <f>入力シート!$AA$40</f>
        <v>0</v>
      </c>
      <c r="AF32" s="156" t="str">
        <f>入力シート!$AB$40</f>
        <v/>
      </c>
      <c r="AG32" s="156">
        <f>入力シート!$AC$40</f>
        <v>0</v>
      </c>
      <c r="AH32" s="156" t="str">
        <f>入力シート!$AD$40</f>
        <v/>
      </c>
      <c r="AI32" s="156">
        <f>入力シート!$AE$40</f>
        <v>0</v>
      </c>
      <c r="AJ32" s="156" t="str">
        <f>入力シート!$AF$40</f>
        <v/>
      </c>
      <c r="AK32" s="155">
        <f>入力シート!$AG$40</f>
        <v>0</v>
      </c>
      <c r="AL32" s="155" t="str">
        <f>入力シート!$AH$40</f>
        <v/>
      </c>
      <c r="AM32" s="155">
        <f>入力シート!$AI$40</f>
        <v>0</v>
      </c>
      <c r="AN32" s="158">
        <f>入力シート!$AJ$40</f>
        <v>0</v>
      </c>
      <c r="AO32" s="155" t="str">
        <f>入力シート!$AK$40</f>
        <v/>
      </c>
      <c r="AP32" s="158">
        <f>入力シート!$AR$40</f>
        <v>0</v>
      </c>
      <c r="AQ32" s="158">
        <f>入力シート!$AV$40</f>
        <v>0</v>
      </c>
      <c r="AR32" s="158">
        <f>入力シート!$AW$40</f>
        <v>0</v>
      </c>
      <c r="AS32" s="155">
        <f>入力シート!$BF$40</f>
        <v>0</v>
      </c>
      <c r="AT32" s="155">
        <f>入力シート!$BG$40</f>
        <v>0</v>
      </c>
    </row>
    <row r="33" spans="1:46" x14ac:dyDescent="0.15">
      <c r="A33" s="155">
        <v>30</v>
      </c>
      <c r="F33" s="155" t="str">
        <f>入力シート!$B$41</f>
        <v/>
      </c>
      <c r="H33" s="155">
        <f>入力シート!$D$41</f>
        <v>0</v>
      </c>
      <c r="I33" s="155">
        <f>入力シート!$E$41</f>
        <v>0</v>
      </c>
      <c r="J33" s="155">
        <f>入力シート!$F$41</f>
        <v>0</v>
      </c>
      <c r="K33" s="157">
        <f>入力シート!$G$41</f>
        <v>0</v>
      </c>
      <c r="L33" s="19"/>
      <c r="M33" s="156" t="str">
        <f>入力シート!$I$41</f>
        <v/>
      </c>
      <c r="N33" s="156">
        <f>入力シート!$J$41</f>
        <v>0</v>
      </c>
      <c r="O33" s="156">
        <f>入力シート!$K$41</f>
        <v>0</v>
      </c>
      <c r="P33" s="156">
        <f>入力シート!$L$41</f>
        <v>0</v>
      </c>
      <c r="Q33" s="156">
        <f>入力シート!$M$41</f>
        <v>0</v>
      </c>
      <c r="R33" s="156">
        <f>入力シート!$N$41</f>
        <v>0</v>
      </c>
      <c r="S33" s="156">
        <f>入力シート!$O$41</f>
        <v>0</v>
      </c>
      <c r="T33" s="156">
        <f>入力シート!$P$41</f>
        <v>0</v>
      </c>
      <c r="U33" s="242">
        <f>入力シート!$Q$41</f>
        <v>0</v>
      </c>
      <c r="V33" s="242">
        <f>入力シート!$R$41</f>
        <v>0</v>
      </c>
      <c r="W33" s="242">
        <f>入力シート!$S$41</f>
        <v>0</v>
      </c>
      <c r="X33" s="242">
        <f>入力シート!$T$41</f>
        <v>0</v>
      </c>
      <c r="Y33" s="242">
        <f>入力シート!$U$41</f>
        <v>0</v>
      </c>
      <c r="Z33" s="156">
        <f>入力シート!$V$41</f>
        <v>0</v>
      </c>
      <c r="AA33" s="242">
        <f>入力シート!$W$41</f>
        <v>0</v>
      </c>
      <c r="AB33" s="156">
        <f>入力シート!$X$41</f>
        <v>0</v>
      </c>
      <c r="AC33" s="156">
        <f>入力シート!$Y$41</f>
        <v>0</v>
      </c>
      <c r="AD33" s="156" t="str">
        <f>入力シート!$Z$41</f>
        <v/>
      </c>
      <c r="AE33" s="156">
        <f>入力シート!$AA$41</f>
        <v>0</v>
      </c>
      <c r="AF33" s="156" t="str">
        <f>入力シート!$AB$41</f>
        <v/>
      </c>
      <c r="AG33" s="156">
        <f>入力シート!$AC$41</f>
        <v>0</v>
      </c>
      <c r="AH33" s="156" t="str">
        <f>入力シート!$AD$41</f>
        <v/>
      </c>
      <c r="AI33" s="156">
        <f>入力シート!$AE$41</f>
        <v>0</v>
      </c>
      <c r="AJ33" s="156" t="str">
        <f>入力シート!$AF$41</f>
        <v/>
      </c>
      <c r="AK33" s="155">
        <f>入力シート!$AG$41</f>
        <v>0</v>
      </c>
      <c r="AL33" s="155" t="str">
        <f>入力シート!$AH$41</f>
        <v/>
      </c>
      <c r="AM33" s="155">
        <f>入力シート!$AI$41</f>
        <v>0</v>
      </c>
      <c r="AN33" s="158">
        <f>入力シート!$AJ$41</f>
        <v>0</v>
      </c>
      <c r="AO33" s="155" t="str">
        <f>入力シート!$AK$41</f>
        <v/>
      </c>
      <c r="AP33" s="158">
        <f>入力シート!$AR$41</f>
        <v>0</v>
      </c>
      <c r="AQ33" s="158">
        <f>入力シート!$AV$41</f>
        <v>0</v>
      </c>
      <c r="AR33" s="158">
        <f>入力シート!$AW$41</f>
        <v>0</v>
      </c>
      <c r="AS33" s="155">
        <f>入力シート!$BF$41</f>
        <v>0</v>
      </c>
      <c r="AT33" s="155">
        <f>入力シート!$BG$41</f>
        <v>0</v>
      </c>
    </row>
    <row r="34" spans="1:46" x14ac:dyDescent="0.15">
      <c r="A34" s="155">
        <v>31</v>
      </c>
      <c r="F34" s="155" t="str">
        <f>入力シート!$B$42</f>
        <v/>
      </c>
      <c r="H34" s="155">
        <f>入力シート!$D$42</f>
        <v>0</v>
      </c>
      <c r="I34" s="155">
        <f>入力シート!$E$42</f>
        <v>0</v>
      </c>
      <c r="J34" s="155">
        <f>入力シート!$F$42</f>
        <v>0</v>
      </c>
      <c r="K34" s="157">
        <f>入力シート!$G$42</f>
        <v>0</v>
      </c>
      <c r="L34" s="19"/>
      <c r="M34" s="156" t="str">
        <f>入力シート!$I$42</f>
        <v/>
      </c>
      <c r="N34" s="156">
        <f>入力シート!$J$42</f>
        <v>0</v>
      </c>
      <c r="O34" s="156">
        <f>入力シート!$K$42</f>
        <v>0</v>
      </c>
      <c r="P34" s="156">
        <f>入力シート!$L$42</f>
        <v>0</v>
      </c>
      <c r="Q34" s="156">
        <f>入力シート!$M$42</f>
        <v>0</v>
      </c>
      <c r="R34" s="156">
        <f>入力シート!$N$42</f>
        <v>0</v>
      </c>
      <c r="S34" s="156">
        <f>入力シート!$O$42</f>
        <v>0</v>
      </c>
      <c r="T34" s="156">
        <f>入力シート!$P$42</f>
        <v>0</v>
      </c>
      <c r="U34" s="242">
        <f>入力シート!$Q$42</f>
        <v>0</v>
      </c>
      <c r="V34" s="242">
        <f>入力シート!$R$42</f>
        <v>0</v>
      </c>
      <c r="W34" s="242">
        <f>入力シート!$S$42</f>
        <v>0</v>
      </c>
      <c r="X34" s="242">
        <f>入力シート!$T$42</f>
        <v>0</v>
      </c>
      <c r="Y34" s="242">
        <f>入力シート!$U$42</f>
        <v>0</v>
      </c>
      <c r="Z34" s="156">
        <f>入力シート!$V$42</f>
        <v>0</v>
      </c>
      <c r="AA34" s="242">
        <f>入力シート!$W$42</f>
        <v>0</v>
      </c>
      <c r="AB34" s="156">
        <f>入力シート!$X$42</f>
        <v>0</v>
      </c>
      <c r="AC34" s="156">
        <f>入力シート!$Y$42</f>
        <v>0</v>
      </c>
      <c r="AD34" s="156" t="str">
        <f>入力シート!$Z$42</f>
        <v/>
      </c>
      <c r="AE34" s="156">
        <f>入力シート!$AA$42</f>
        <v>0</v>
      </c>
      <c r="AF34" s="156" t="str">
        <f>入力シート!$AB$42</f>
        <v/>
      </c>
      <c r="AG34" s="156">
        <f>入力シート!$AC$42</f>
        <v>0</v>
      </c>
      <c r="AH34" s="156" t="str">
        <f>入力シート!$AD$42</f>
        <v/>
      </c>
      <c r="AI34" s="156">
        <f>入力シート!$AE$42</f>
        <v>0</v>
      </c>
      <c r="AJ34" s="156" t="str">
        <f>入力シート!$AF$42</f>
        <v/>
      </c>
      <c r="AK34" s="155">
        <f>入力シート!$AG$42</f>
        <v>0</v>
      </c>
      <c r="AL34" s="155" t="str">
        <f>入力シート!$AH$42</f>
        <v/>
      </c>
      <c r="AM34" s="155">
        <f>入力シート!$AI$42</f>
        <v>0</v>
      </c>
      <c r="AN34" s="158">
        <f>入力シート!$AJ$42</f>
        <v>0</v>
      </c>
      <c r="AO34" s="155" t="str">
        <f>入力シート!$AK$42</f>
        <v/>
      </c>
      <c r="AP34" s="158">
        <f>入力シート!$AR$42</f>
        <v>0</v>
      </c>
      <c r="AQ34" s="158">
        <f>入力シート!$AV$42</f>
        <v>0</v>
      </c>
      <c r="AR34" s="158">
        <f>入力シート!$AW$42</f>
        <v>0</v>
      </c>
      <c r="AS34" s="155">
        <f>入力シート!$BF$42</f>
        <v>0</v>
      </c>
      <c r="AT34" s="155">
        <f>入力シート!$BG$42</f>
        <v>0</v>
      </c>
    </row>
    <row r="35" spans="1:46" x14ac:dyDescent="0.15">
      <c r="A35" s="155">
        <v>32</v>
      </c>
      <c r="F35" s="155" t="str">
        <f>入力シート!$B$43</f>
        <v/>
      </c>
      <c r="H35" s="155">
        <f>入力シート!$D$43</f>
        <v>0</v>
      </c>
      <c r="I35" s="155">
        <f>入力シート!$E$43</f>
        <v>0</v>
      </c>
      <c r="J35" s="155">
        <f>入力シート!$F$43</f>
        <v>0</v>
      </c>
      <c r="K35" s="157">
        <f>入力シート!$G$43</f>
        <v>0</v>
      </c>
      <c r="L35" s="19"/>
      <c r="M35" s="156" t="str">
        <f>入力シート!$I$43</f>
        <v/>
      </c>
      <c r="N35" s="156">
        <f>入力シート!$J$43</f>
        <v>0</v>
      </c>
      <c r="O35" s="156">
        <f>入力シート!$K$43</f>
        <v>0</v>
      </c>
      <c r="P35" s="156">
        <f>入力シート!$L$43</f>
        <v>0</v>
      </c>
      <c r="Q35" s="156">
        <f>入力シート!$M$43</f>
        <v>0</v>
      </c>
      <c r="R35" s="156">
        <f>入力シート!$N$43</f>
        <v>0</v>
      </c>
      <c r="S35" s="156">
        <f>入力シート!$O$43</f>
        <v>0</v>
      </c>
      <c r="T35" s="156">
        <f>入力シート!$P$43</f>
        <v>0</v>
      </c>
      <c r="U35" s="242">
        <f>入力シート!$Q$43</f>
        <v>0</v>
      </c>
      <c r="V35" s="242">
        <f>入力シート!$R$43</f>
        <v>0</v>
      </c>
      <c r="W35" s="242">
        <f>入力シート!$S$43</f>
        <v>0</v>
      </c>
      <c r="X35" s="242">
        <f>入力シート!$T$43</f>
        <v>0</v>
      </c>
      <c r="Y35" s="242">
        <f>入力シート!$U$43</f>
        <v>0</v>
      </c>
      <c r="Z35" s="156">
        <f>入力シート!$V$43</f>
        <v>0</v>
      </c>
      <c r="AA35" s="242">
        <f>入力シート!$W$43</f>
        <v>0</v>
      </c>
      <c r="AB35" s="156">
        <f>入力シート!$X$43</f>
        <v>0</v>
      </c>
      <c r="AC35" s="156">
        <f>入力シート!$Y$43</f>
        <v>0</v>
      </c>
      <c r="AD35" s="156" t="str">
        <f>入力シート!$Z$43</f>
        <v/>
      </c>
      <c r="AE35" s="156">
        <f>入力シート!$AA$43</f>
        <v>0</v>
      </c>
      <c r="AF35" s="156" t="str">
        <f>入力シート!$AB$43</f>
        <v/>
      </c>
      <c r="AG35" s="156">
        <f>入力シート!$AC$43</f>
        <v>0</v>
      </c>
      <c r="AH35" s="156" t="str">
        <f>入力シート!$AD$43</f>
        <v/>
      </c>
      <c r="AI35" s="156">
        <f>入力シート!$AE$43</f>
        <v>0</v>
      </c>
      <c r="AJ35" s="156" t="str">
        <f>入力シート!$AF$43</f>
        <v/>
      </c>
      <c r="AK35" s="155">
        <f>入力シート!$AG$43</f>
        <v>0</v>
      </c>
      <c r="AL35" s="155" t="str">
        <f>入力シート!$AH$43</f>
        <v/>
      </c>
      <c r="AM35" s="155">
        <f>入力シート!$AI$43</f>
        <v>0</v>
      </c>
      <c r="AN35" s="158">
        <f>入力シート!$AJ$43</f>
        <v>0</v>
      </c>
      <c r="AO35" s="155" t="str">
        <f>入力シート!$AK$43</f>
        <v/>
      </c>
      <c r="AP35" s="158">
        <f>入力シート!$AR$43</f>
        <v>0</v>
      </c>
      <c r="AQ35" s="158">
        <f>入力シート!$AV$43</f>
        <v>0</v>
      </c>
      <c r="AR35" s="158">
        <f>入力シート!$AW$43</f>
        <v>0</v>
      </c>
      <c r="AS35" s="155">
        <f>入力シート!$BF$43</f>
        <v>0</v>
      </c>
      <c r="AT35" s="155">
        <f>入力シート!$BG$43</f>
        <v>0</v>
      </c>
    </row>
    <row r="36" spans="1:46" x14ac:dyDescent="0.15">
      <c r="A36" s="155">
        <v>33</v>
      </c>
      <c r="F36" s="155" t="str">
        <f>入力シート!$B$44</f>
        <v/>
      </c>
      <c r="H36" s="155">
        <f>入力シート!$D$44</f>
        <v>0</v>
      </c>
      <c r="I36" s="155">
        <f>入力シート!$E$44</f>
        <v>0</v>
      </c>
      <c r="J36" s="155">
        <f>入力シート!$F$44</f>
        <v>0</v>
      </c>
      <c r="K36" s="157">
        <f>入力シート!$G$44</f>
        <v>0</v>
      </c>
      <c r="L36" s="19"/>
      <c r="M36" s="156" t="str">
        <f>入力シート!$I$44</f>
        <v/>
      </c>
      <c r="N36" s="156">
        <f>入力シート!$J$44</f>
        <v>0</v>
      </c>
      <c r="O36" s="156">
        <f>入力シート!$K$44</f>
        <v>0</v>
      </c>
      <c r="P36" s="156">
        <f>入力シート!$L$44</f>
        <v>0</v>
      </c>
      <c r="Q36" s="156">
        <f>入力シート!$M$44</f>
        <v>0</v>
      </c>
      <c r="R36" s="156">
        <f>入力シート!$N$44</f>
        <v>0</v>
      </c>
      <c r="S36" s="156">
        <f>入力シート!$O$44</f>
        <v>0</v>
      </c>
      <c r="T36" s="156">
        <f>入力シート!$P$44</f>
        <v>0</v>
      </c>
      <c r="U36" s="242">
        <f>入力シート!$Q$44</f>
        <v>0</v>
      </c>
      <c r="V36" s="242">
        <f>入力シート!$R$44</f>
        <v>0</v>
      </c>
      <c r="W36" s="242">
        <f>入力シート!$S$44</f>
        <v>0</v>
      </c>
      <c r="X36" s="242">
        <f>入力シート!$T$44</f>
        <v>0</v>
      </c>
      <c r="Y36" s="242">
        <f>入力シート!$U$44</f>
        <v>0</v>
      </c>
      <c r="Z36" s="156">
        <f>入力シート!$V$44</f>
        <v>0</v>
      </c>
      <c r="AA36" s="242">
        <f>入力シート!$W$44</f>
        <v>0</v>
      </c>
      <c r="AB36" s="156">
        <f>入力シート!$X$44</f>
        <v>0</v>
      </c>
      <c r="AC36" s="156">
        <f>入力シート!$Y$44</f>
        <v>0</v>
      </c>
      <c r="AD36" s="156" t="str">
        <f>入力シート!$Z$44</f>
        <v/>
      </c>
      <c r="AE36" s="156">
        <f>入力シート!$AA$44</f>
        <v>0</v>
      </c>
      <c r="AF36" s="156" t="str">
        <f>入力シート!$AB$44</f>
        <v/>
      </c>
      <c r="AG36" s="156">
        <f>入力シート!$AC$44</f>
        <v>0</v>
      </c>
      <c r="AH36" s="156" t="str">
        <f>入力シート!$AD$44</f>
        <v/>
      </c>
      <c r="AI36" s="156">
        <f>入力シート!$AE$44</f>
        <v>0</v>
      </c>
      <c r="AJ36" s="156" t="str">
        <f>入力シート!$AF$44</f>
        <v/>
      </c>
      <c r="AK36" s="155">
        <f>入力シート!$AG$44</f>
        <v>0</v>
      </c>
      <c r="AL36" s="155" t="str">
        <f>入力シート!$AH$44</f>
        <v/>
      </c>
      <c r="AM36" s="155">
        <f>入力シート!$AI$44</f>
        <v>0</v>
      </c>
      <c r="AN36" s="158">
        <f>入力シート!$AJ$44</f>
        <v>0</v>
      </c>
      <c r="AO36" s="155" t="str">
        <f>入力シート!$AK$44</f>
        <v/>
      </c>
      <c r="AP36" s="158">
        <f>入力シート!$AR$44</f>
        <v>0</v>
      </c>
      <c r="AQ36" s="158">
        <f>入力シート!$AV$44</f>
        <v>0</v>
      </c>
      <c r="AR36" s="158">
        <f>入力シート!$AW$44</f>
        <v>0</v>
      </c>
      <c r="AS36" s="155">
        <f>入力シート!$BF$44</f>
        <v>0</v>
      </c>
      <c r="AT36" s="155">
        <f>入力シート!$BG$44</f>
        <v>0</v>
      </c>
    </row>
    <row r="37" spans="1:46" x14ac:dyDescent="0.15">
      <c r="A37" s="155">
        <v>34</v>
      </c>
      <c r="F37" s="155" t="str">
        <f>入力シート!$B$45</f>
        <v/>
      </c>
      <c r="H37" s="155">
        <f>入力シート!$D$45</f>
        <v>0</v>
      </c>
      <c r="I37" s="155">
        <f>入力シート!$E$45</f>
        <v>0</v>
      </c>
      <c r="J37" s="155">
        <f>入力シート!$F$45</f>
        <v>0</v>
      </c>
      <c r="K37" s="157">
        <f>入力シート!$G$45</f>
        <v>0</v>
      </c>
      <c r="L37" s="19"/>
      <c r="M37" s="156" t="str">
        <f>入力シート!$I$45</f>
        <v/>
      </c>
      <c r="N37" s="156">
        <f>入力シート!$J$45</f>
        <v>0</v>
      </c>
      <c r="O37" s="156">
        <f>入力シート!$K$45</f>
        <v>0</v>
      </c>
      <c r="P37" s="156">
        <f>入力シート!$L$45</f>
        <v>0</v>
      </c>
      <c r="Q37" s="156">
        <f>入力シート!$M$45</f>
        <v>0</v>
      </c>
      <c r="R37" s="156">
        <f>入力シート!$N$45</f>
        <v>0</v>
      </c>
      <c r="S37" s="156">
        <f>入力シート!$O$45</f>
        <v>0</v>
      </c>
      <c r="T37" s="156">
        <f>入力シート!$P$45</f>
        <v>0</v>
      </c>
      <c r="U37" s="242">
        <f>入力シート!$Q$45</f>
        <v>0</v>
      </c>
      <c r="V37" s="242">
        <f>入力シート!$R$45</f>
        <v>0</v>
      </c>
      <c r="W37" s="242">
        <f>入力シート!$S$45</f>
        <v>0</v>
      </c>
      <c r="X37" s="242">
        <f>入力シート!$T$45</f>
        <v>0</v>
      </c>
      <c r="Y37" s="242">
        <f>入力シート!$U$45</f>
        <v>0</v>
      </c>
      <c r="Z37" s="156">
        <f>入力シート!$V$45</f>
        <v>0</v>
      </c>
      <c r="AA37" s="242">
        <f>入力シート!$W$45</f>
        <v>0</v>
      </c>
      <c r="AB37" s="156">
        <f>入力シート!$X$45</f>
        <v>0</v>
      </c>
      <c r="AC37" s="156">
        <f>入力シート!$Y$45</f>
        <v>0</v>
      </c>
      <c r="AD37" s="156" t="str">
        <f>入力シート!$Z$45</f>
        <v/>
      </c>
      <c r="AE37" s="156">
        <f>入力シート!$AA$45</f>
        <v>0</v>
      </c>
      <c r="AF37" s="156" t="str">
        <f>入力シート!$AB$45</f>
        <v/>
      </c>
      <c r="AG37" s="156">
        <f>入力シート!$AC$45</f>
        <v>0</v>
      </c>
      <c r="AH37" s="156" t="str">
        <f>入力シート!$AD$45</f>
        <v/>
      </c>
      <c r="AI37" s="156">
        <f>入力シート!$AE$45</f>
        <v>0</v>
      </c>
      <c r="AJ37" s="156" t="str">
        <f>入力シート!$AF$45</f>
        <v/>
      </c>
      <c r="AK37" s="155">
        <f>入力シート!$AG$45</f>
        <v>0</v>
      </c>
      <c r="AL37" s="155" t="str">
        <f>入力シート!$AH$45</f>
        <v/>
      </c>
      <c r="AM37" s="155">
        <f>入力シート!$AI$45</f>
        <v>0</v>
      </c>
      <c r="AN37" s="158">
        <f>入力シート!$AJ$45</f>
        <v>0</v>
      </c>
      <c r="AO37" s="155" t="str">
        <f>入力シート!$AK$45</f>
        <v/>
      </c>
      <c r="AP37" s="158">
        <f>入力シート!$AR$45</f>
        <v>0</v>
      </c>
      <c r="AQ37" s="158">
        <f>入力シート!$AV$45</f>
        <v>0</v>
      </c>
      <c r="AR37" s="158">
        <f>入力シート!$AW$45</f>
        <v>0</v>
      </c>
      <c r="AS37" s="155">
        <f>入力シート!$BF$45</f>
        <v>0</v>
      </c>
      <c r="AT37" s="155">
        <f>入力シート!$BG$45</f>
        <v>0</v>
      </c>
    </row>
    <row r="38" spans="1:46" x14ac:dyDescent="0.15">
      <c r="A38" s="155">
        <v>35</v>
      </c>
      <c r="F38" s="155" t="str">
        <f>入力シート!$B$46</f>
        <v/>
      </c>
      <c r="H38" s="155">
        <f>入力シート!$D$46</f>
        <v>0</v>
      </c>
      <c r="I38" s="155">
        <f>入力シート!$E$46</f>
        <v>0</v>
      </c>
      <c r="J38" s="155">
        <f>入力シート!$F$46</f>
        <v>0</v>
      </c>
      <c r="K38" s="157">
        <f>入力シート!$G$46</f>
        <v>0</v>
      </c>
      <c r="L38" s="19"/>
      <c r="M38" s="156" t="str">
        <f>入力シート!$I$46</f>
        <v/>
      </c>
      <c r="N38" s="156">
        <f>入力シート!$J$46</f>
        <v>0</v>
      </c>
      <c r="O38" s="156">
        <f>入力シート!$K$46</f>
        <v>0</v>
      </c>
      <c r="P38" s="156">
        <f>入力シート!$L$46</f>
        <v>0</v>
      </c>
      <c r="Q38" s="156">
        <f>入力シート!$M$46</f>
        <v>0</v>
      </c>
      <c r="R38" s="156">
        <f>入力シート!$N$46</f>
        <v>0</v>
      </c>
      <c r="S38" s="156">
        <f>入力シート!$O$46</f>
        <v>0</v>
      </c>
      <c r="T38" s="156">
        <f>入力シート!$P$46</f>
        <v>0</v>
      </c>
      <c r="U38" s="242">
        <f>入力シート!$Q$46</f>
        <v>0</v>
      </c>
      <c r="V38" s="242">
        <f>入力シート!$R$46</f>
        <v>0</v>
      </c>
      <c r="W38" s="242">
        <f>入力シート!$S$46</f>
        <v>0</v>
      </c>
      <c r="X38" s="242">
        <f>入力シート!$T$46</f>
        <v>0</v>
      </c>
      <c r="Y38" s="242">
        <f>入力シート!$U$46</f>
        <v>0</v>
      </c>
      <c r="Z38" s="156">
        <f>入力シート!$V$46</f>
        <v>0</v>
      </c>
      <c r="AA38" s="242">
        <f>入力シート!$W$46</f>
        <v>0</v>
      </c>
      <c r="AB38" s="156">
        <f>入力シート!$X$46</f>
        <v>0</v>
      </c>
      <c r="AC38" s="156">
        <f>入力シート!$Y$46</f>
        <v>0</v>
      </c>
      <c r="AD38" s="156" t="str">
        <f>入力シート!$Z$46</f>
        <v/>
      </c>
      <c r="AE38" s="156">
        <f>入力シート!$AA$46</f>
        <v>0</v>
      </c>
      <c r="AF38" s="156" t="str">
        <f>入力シート!$AB$46</f>
        <v/>
      </c>
      <c r="AG38" s="156">
        <f>入力シート!$AC$46</f>
        <v>0</v>
      </c>
      <c r="AH38" s="156" t="str">
        <f>入力シート!$AD$46</f>
        <v/>
      </c>
      <c r="AI38" s="156">
        <f>入力シート!$AE$46</f>
        <v>0</v>
      </c>
      <c r="AJ38" s="156" t="str">
        <f>入力シート!$AF$46</f>
        <v/>
      </c>
      <c r="AK38" s="155">
        <f>入力シート!$AG$46</f>
        <v>0</v>
      </c>
      <c r="AL38" s="155" t="str">
        <f>入力シート!$AH$46</f>
        <v/>
      </c>
      <c r="AM38" s="155">
        <f>入力シート!$AI$46</f>
        <v>0</v>
      </c>
      <c r="AN38" s="158">
        <f>入力シート!$AJ$46</f>
        <v>0</v>
      </c>
      <c r="AO38" s="155" t="str">
        <f>入力シート!$AK$46</f>
        <v/>
      </c>
      <c r="AP38" s="158">
        <f>入力シート!$AR$46</f>
        <v>0</v>
      </c>
      <c r="AQ38" s="158">
        <f>入力シート!$AV$46</f>
        <v>0</v>
      </c>
      <c r="AR38" s="158">
        <f>入力シート!$AW$46</f>
        <v>0</v>
      </c>
      <c r="AS38" s="155">
        <f>入力シート!$BF$46</f>
        <v>0</v>
      </c>
      <c r="AT38" s="155">
        <f>入力シート!$BG$46</f>
        <v>0</v>
      </c>
    </row>
    <row r="39" spans="1:46" x14ac:dyDescent="0.15">
      <c r="A39" s="155">
        <v>36</v>
      </c>
      <c r="F39" s="155" t="str">
        <f>入力シート!$B$47</f>
        <v/>
      </c>
      <c r="H39" s="155">
        <f>入力シート!$D$47</f>
        <v>0</v>
      </c>
      <c r="I39" s="155">
        <f>入力シート!$E$47</f>
        <v>0</v>
      </c>
      <c r="J39" s="155">
        <f>入力シート!$F$47</f>
        <v>0</v>
      </c>
      <c r="K39" s="157">
        <f>入力シート!$G$47</f>
        <v>0</v>
      </c>
      <c r="L39" s="19"/>
      <c r="M39" s="156" t="str">
        <f>入力シート!$I$47</f>
        <v/>
      </c>
      <c r="N39" s="156">
        <f>入力シート!$J$47</f>
        <v>0</v>
      </c>
      <c r="O39" s="156">
        <f>入力シート!$K$47</f>
        <v>0</v>
      </c>
      <c r="P39" s="156">
        <f>入力シート!$L$47</f>
        <v>0</v>
      </c>
      <c r="Q39" s="156">
        <f>入力シート!$M$47</f>
        <v>0</v>
      </c>
      <c r="R39" s="156">
        <f>入力シート!$N$47</f>
        <v>0</v>
      </c>
      <c r="S39" s="156">
        <f>入力シート!$O$47</f>
        <v>0</v>
      </c>
      <c r="T39" s="156">
        <f>入力シート!$P$47</f>
        <v>0</v>
      </c>
      <c r="U39" s="242">
        <f>入力シート!$Q$47</f>
        <v>0</v>
      </c>
      <c r="V39" s="242">
        <f>入力シート!$R$47</f>
        <v>0</v>
      </c>
      <c r="W39" s="242">
        <f>入力シート!$S$47</f>
        <v>0</v>
      </c>
      <c r="X39" s="242">
        <f>入力シート!$T$47</f>
        <v>0</v>
      </c>
      <c r="Y39" s="242">
        <f>入力シート!$U$47</f>
        <v>0</v>
      </c>
      <c r="Z39" s="156">
        <f>入力シート!$V$47</f>
        <v>0</v>
      </c>
      <c r="AA39" s="242">
        <f>入力シート!$W$47</f>
        <v>0</v>
      </c>
      <c r="AB39" s="156">
        <f>入力シート!$X$47</f>
        <v>0</v>
      </c>
      <c r="AC39" s="156">
        <f>入力シート!$Y$47</f>
        <v>0</v>
      </c>
      <c r="AD39" s="156" t="str">
        <f>入力シート!$Z$47</f>
        <v/>
      </c>
      <c r="AE39" s="156">
        <f>入力シート!$AA$47</f>
        <v>0</v>
      </c>
      <c r="AF39" s="156" t="str">
        <f>入力シート!$AB$47</f>
        <v/>
      </c>
      <c r="AG39" s="156">
        <f>入力シート!$AC$47</f>
        <v>0</v>
      </c>
      <c r="AH39" s="156" t="str">
        <f>入力シート!$AD$47</f>
        <v/>
      </c>
      <c r="AI39" s="156">
        <f>入力シート!$AE$47</f>
        <v>0</v>
      </c>
      <c r="AJ39" s="156" t="str">
        <f>入力シート!$AF$47</f>
        <v/>
      </c>
      <c r="AK39" s="155">
        <f>入力シート!$AG$47</f>
        <v>0</v>
      </c>
      <c r="AL39" s="155" t="str">
        <f>入力シート!$AH$47</f>
        <v/>
      </c>
      <c r="AM39" s="155">
        <f>入力シート!$AI$47</f>
        <v>0</v>
      </c>
      <c r="AN39" s="158">
        <f>入力シート!$AJ$47</f>
        <v>0</v>
      </c>
      <c r="AO39" s="155" t="str">
        <f>入力シート!$AK$47</f>
        <v/>
      </c>
      <c r="AP39" s="158">
        <f>入力シート!$AR$47</f>
        <v>0</v>
      </c>
      <c r="AQ39" s="158">
        <f>入力シート!$AV$47</f>
        <v>0</v>
      </c>
      <c r="AR39" s="158">
        <f>入力シート!$AW$47</f>
        <v>0</v>
      </c>
      <c r="AS39" s="155">
        <f>入力シート!$BF$47</f>
        <v>0</v>
      </c>
      <c r="AT39" s="155">
        <f>入力シート!$BG$47</f>
        <v>0</v>
      </c>
    </row>
    <row r="40" spans="1:46" x14ac:dyDescent="0.15">
      <c r="A40" s="155">
        <v>37</v>
      </c>
      <c r="F40" s="155" t="str">
        <f>入力シート!$B$48</f>
        <v/>
      </c>
      <c r="H40" s="155">
        <f>入力シート!$D$48</f>
        <v>0</v>
      </c>
      <c r="I40" s="155">
        <f>入力シート!$E$48</f>
        <v>0</v>
      </c>
      <c r="J40" s="155">
        <f>入力シート!$F$48</f>
        <v>0</v>
      </c>
      <c r="K40" s="157">
        <f>入力シート!$G$48</f>
        <v>0</v>
      </c>
      <c r="L40" s="19"/>
      <c r="M40" s="156" t="str">
        <f>入力シート!$I$48</f>
        <v/>
      </c>
      <c r="N40" s="156">
        <f>入力シート!$J$48</f>
        <v>0</v>
      </c>
      <c r="O40" s="156">
        <f>入力シート!$K$48</f>
        <v>0</v>
      </c>
      <c r="P40" s="156">
        <f>入力シート!$L$48</f>
        <v>0</v>
      </c>
      <c r="Q40" s="156">
        <f>入力シート!$M$48</f>
        <v>0</v>
      </c>
      <c r="R40" s="156">
        <f>入力シート!$N$48</f>
        <v>0</v>
      </c>
      <c r="S40" s="156">
        <f>入力シート!$O$48</f>
        <v>0</v>
      </c>
      <c r="T40" s="156">
        <f>入力シート!$P$48</f>
        <v>0</v>
      </c>
      <c r="U40" s="242">
        <f>入力シート!$Q$48</f>
        <v>0</v>
      </c>
      <c r="V40" s="242">
        <f>入力シート!$R$48</f>
        <v>0</v>
      </c>
      <c r="W40" s="242">
        <f>入力シート!$S$48</f>
        <v>0</v>
      </c>
      <c r="X40" s="242">
        <f>入力シート!$T$48</f>
        <v>0</v>
      </c>
      <c r="Y40" s="242">
        <f>入力シート!$U$48</f>
        <v>0</v>
      </c>
      <c r="Z40" s="156">
        <f>入力シート!$V$48</f>
        <v>0</v>
      </c>
      <c r="AA40" s="242">
        <f>入力シート!$W$48</f>
        <v>0</v>
      </c>
      <c r="AB40" s="156">
        <f>入力シート!$X$48</f>
        <v>0</v>
      </c>
      <c r="AC40" s="156">
        <f>入力シート!$Y$48</f>
        <v>0</v>
      </c>
      <c r="AD40" s="156" t="str">
        <f>入力シート!$Z$48</f>
        <v/>
      </c>
      <c r="AE40" s="156">
        <f>入力シート!$AA$48</f>
        <v>0</v>
      </c>
      <c r="AF40" s="156" t="str">
        <f>入力シート!$AB$48</f>
        <v/>
      </c>
      <c r="AG40" s="156">
        <f>入力シート!$AC$48</f>
        <v>0</v>
      </c>
      <c r="AH40" s="156" t="str">
        <f>入力シート!$AD$48</f>
        <v/>
      </c>
      <c r="AI40" s="156">
        <f>入力シート!$AE$48</f>
        <v>0</v>
      </c>
      <c r="AJ40" s="156" t="str">
        <f>入力シート!$AF$48</f>
        <v/>
      </c>
      <c r="AK40" s="155">
        <f>入力シート!$AG$48</f>
        <v>0</v>
      </c>
      <c r="AL40" s="155" t="str">
        <f>入力シート!$AH$48</f>
        <v/>
      </c>
      <c r="AM40" s="155">
        <f>入力シート!$AI$48</f>
        <v>0</v>
      </c>
      <c r="AN40" s="158">
        <f>入力シート!$AJ$48</f>
        <v>0</v>
      </c>
      <c r="AO40" s="155" t="str">
        <f>入力シート!$AK$48</f>
        <v/>
      </c>
      <c r="AP40" s="158">
        <f>入力シート!$AR$48</f>
        <v>0</v>
      </c>
      <c r="AQ40" s="158">
        <f>入力シート!$AV$48</f>
        <v>0</v>
      </c>
      <c r="AR40" s="158">
        <f>入力シート!$AW$48</f>
        <v>0</v>
      </c>
      <c r="AS40" s="155">
        <f>入力シート!$BF$48</f>
        <v>0</v>
      </c>
      <c r="AT40" s="155">
        <f>入力シート!$BG$48</f>
        <v>0</v>
      </c>
    </row>
    <row r="41" spans="1:46" x14ac:dyDescent="0.15">
      <c r="A41" s="155">
        <v>38</v>
      </c>
      <c r="F41" s="155" t="str">
        <f>入力シート!$B$49</f>
        <v/>
      </c>
      <c r="H41" s="155">
        <f>入力シート!$D$49</f>
        <v>0</v>
      </c>
      <c r="I41" s="155">
        <f>入力シート!$E$49</f>
        <v>0</v>
      </c>
      <c r="J41" s="155">
        <f>入力シート!$F$49</f>
        <v>0</v>
      </c>
      <c r="K41" s="157">
        <f>入力シート!$G$49</f>
        <v>0</v>
      </c>
      <c r="L41" s="19"/>
      <c r="M41" s="156" t="str">
        <f>入力シート!$I$49</f>
        <v/>
      </c>
      <c r="N41" s="156">
        <f>入力シート!$J$49</f>
        <v>0</v>
      </c>
      <c r="O41" s="156">
        <f>入力シート!$K$49</f>
        <v>0</v>
      </c>
      <c r="P41" s="156">
        <f>入力シート!$L$49</f>
        <v>0</v>
      </c>
      <c r="Q41" s="156">
        <f>入力シート!$M$49</f>
        <v>0</v>
      </c>
      <c r="R41" s="156">
        <f>入力シート!$N$49</f>
        <v>0</v>
      </c>
      <c r="S41" s="156">
        <f>入力シート!$O$49</f>
        <v>0</v>
      </c>
      <c r="T41" s="156">
        <f>入力シート!$P$49</f>
        <v>0</v>
      </c>
      <c r="U41" s="242">
        <f>入力シート!$Q$49</f>
        <v>0</v>
      </c>
      <c r="V41" s="242">
        <f>入力シート!$R$49</f>
        <v>0</v>
      </c>
      <c r="W41" s="242">
        <f>入力シート!$S$49</f>
        <v>0</v>
      </c>
      <c r="X41" s="242">
        <f>入力シート!$T$49</f>
        <v>0</v>
      </c>
      <c r="Y41" s="242">
        <f>入力シート!$U$49</f>
        <v>0</v>
      </c>
      <c r="Z41" s="156">
        <f>入力シート!$V$49</f>
        <v>0</v>
      </c>
      <c r="AA41" s="242">
        <f>入力シート!$W$49</f>
        <v>0</v>
      </c>
      <c r="AB41" s="156">
        <f>入力シート!$X$49</f>
        <v>0</v>
      </c>
      <c r="AC41" s="156">
        <f>入力シート!$Y$49</f>
        <v>0</v>
      </c>
      <c r="AD41" s="156" t="str">
        <f>入力シート!$Z$49</f>
        <v/>
      </c>
      <c r="AE41" s="156">
        <f>入力シート!$AA$49</f>
        <v>0</v>
      </c>
      <c r="AF41" s="156" t="str">
        <f>入力シート!$AB$49</f>
        <v/>
      </c>
      <c r="AG41" s="156">
        <f>入力シート!$AC$49</f>
        <v>0</v>
      </c>
      <c r="AH41" s="156" t="str">
        <f>入力シート!$AD$49</f>
        <v/>
      </c>
      <c r="AI41" s="156">
        <f>入力シート!$AE$49</f>
        <v>0</v>
      </c>
      <c r="AJ41" s="156" t="str">
        <f>入力シート!$AF$49</f>
        <v/>
      </c>
      <c r="AK41" s="155">
        <f>入力シート!$AG$49</f>
        <v>0</v>
      </c>
      <c r="AL41" s="155" t="str">
        <f>入力シート!$AH$49</f>
        <v/>
      </c>
      <c r="AM41" s="155">
        <f>入力シート!$AI$49</f>
        <v>0</v>
      </c>
      <c r="AN41" s="158">
        <f>入力シート!$AJ$49</f>
        <v>0</v>
      </c>
      <c r="AO41" s="155" t="str">
        <f>入力シート!$AK$49</f>
        <v/>
      </c>
      <c r="AP41" s="158">
        <f>入力シート!$AR$49</f>
        <v>0</v>
      </c>
      <c r="AQ41" s="158">
        <f>入力シート!$AV$49</f>
        <v>0</v>
      </c>
      <c r="AR41" s="158">
        <f>入力シート!$AW$49</f>
        <v>0</v>
      </c>
      <c r="AS41" s="155">
        <f>入力シート!$BF$49</f>
        <v>0</v>
      </c>
      <c r="AT41" s="155">
        <f>入力シート!$BG$49</f>
        <v>0</v>
      </c>
    </row>
    <row r="42" spans="1:46" x14ac:dyDescent="0.15">
      <c r="A42" s="155">
        <v>39</v>
      </c>
      <c r="F42" s="155" t="str">
        <f>入力シート!$B$50</f>
        <v/>
      </c>
      <c r="H42" s="155">
        <f>入力シート!$D$50</f>
        <v>0</v>
      </c>
      <c r="I42" s="155">
        <f>入力シート!$E$50</f>
        <v>0</v>
      </c>
      <c r="J42" s="155">
        <f>入力シート!$F$50</f>
        <v>0</v>
      </c>
      <c r="K42" s="157">
        <f>入力シート!$G$50</f>
        <v>0</v>
      </c>
      <c r="L42" s="19"/>
      <c r="M42" s="156" t="str">
        <f>入力シート!$I$50</f>
        <v/>
      </c>
      <c r="N42" s="156">
        <f>入力シート!$J$50</f>
        <v>0</v>
      </c>
      <c r="O42" s="156">
        <f>入力シート!$K$50</f>
        <v>0</v>
      </c>
      <c r="P42" s="156">
        <f>入力シート!$L$50</f>
        <v>0</v>
      </c>
      <c r="Q42" s="156">
        <f>入力シート!$M$50</f>
        <v>0</v>
      </c>
      <c r="R42" s="156">
        <f>入力シート!$N$50</f>
        <v>0</v>
      </c>
      <c r="S42" s="156">
        <f>入力シート!$O$50</f>
        <v>0</v>
      </c>
      <c r="T42" s="156">
        <f>入力シート!$P$50</f>
        <v>0</v>
      </c>
      <c r="U42" s="242">
        <f>入力シート!$Q$50</f>
        <v>0</v>
      </c>
      <c r="V42" s="242">
        <f>入力シート!$R$50</f>
        <v>0</v>
      </c>
      <c r="W42" s="242">
        <f>入力シート!$S$50</f>
        <v>0</v>
      </c>
      <c r="X42" s="242">
        <f>入力シート!$T$50</f>
        <v>0</v>
      </c>
      <c r="Y42" s="242">
        <f>入力シート!$U$50</f>
        <v>0</v>
      </c>
      <c r="Z42" s="156">
        <f>入力シート!$V$50</f>
        <v>0</v>
      </c>
      <c r="AA42" s="242">
        <f>入力シート!$W$50</f>
        <v>0</v>
      </c>
      <c r="AB42" s="156">
        <f>入力シート!$X$50</f>
        <v>0</v>
      </c>
      <c r="AC42" s="156">
        <f>入力シート!$Y$50</f>
        <v>0</v>
      </c>
      <c r="AD42" s="156" t="str">
        <f>入力シート!$Z$50</f>
        <v/>
      </c>
      <c r="AE42" s="156">
        <f>入力シート!$AA$50</f>
        <v>0</v>
      </c>
      <c r="AF42" s="156" t="str">
        <f>入力シート!$AB$50</f>
        <v/>
      </c>
      <c r="AG42" s="156">
        <f>入力シート!$AC$50</f>
        <v>0</v>
      </c>
      <c r="AH42" s="156" t="str">
        <f>入力シート!$AD$50</f>
        <v/>
      </c>
      <c r="AI42" s="156">
        <f>入力シート!$AE$50</f>
        <v>0</v>
      </c>
      <c r="AJ42" s="156" t="str">
        <f>入力シート!$AF$50</f>
        <v/>
      </c>
      <c r="AK42" s="155">
        <f>入力シート!$AG$50</f>
        <v>0</v>
      </c>
      <c r="AL42" s="155" t="str">
        <f>入力シート!$AH$50</f>
        <v/>
      </c>
      <c r="AM42" s="155">
        <f>入力シート!$AI$50</f>
        <v>0</v>
      </c>
      <c r="AN42" s="158">
        <f>入力シート!$AJ$50</f>
        <v>0</v>
      </c>
      <c r="AO42" s="155" t="str">
        <f>入力シート!$AK$50</f>
        <v/>
      </c>
      <c r="AP42" s="158">
        <f>入力シート!$AR$50</f>
        <v>0</v>
      </c>
      <c r="AQ42" s="158">
        <f>入力シート!$AV$50</f>
        <v>0</v>
      </c>
      <c r="AR42" s="158">
        <f>入力シート!$AW$50</f>
        <v>0</v>
      </c>
      <c r="AS42" s="155">
        <f>入力シート!$BF$50</f>
        <v>0</v>
      </c>
      <c r="AT42" s="155">
        <f>入力シート!$BG$50</f>
        <v>0</v>
      </c>
    </row>
    <row r="43" spans="1:46" x14ac:dyDescent="0.15">
      <c r="A43" s="155">
        <v>40</v>
      </c>
      <c r="F43" s="155" t="str">
        <f>入力シート!$B$51</f>
        <v/>
      </c>
      <c r="H43" s="155">
        <f>入力シート!$D$51</f>
        <v>0</v>
      </c>
      <c r="I43" s="155">
        <f>入力シート!$E$51</f>
        <v>0</v>
      </c>
      <c r="J43" s="155">
        <f>入力シート!$F$51</f>
        <v>0</v>
      </c>
      <c r="K43" s="157">
        <f>入力シート!$G$51</f>
        <v>0</v>
      </c>
      <c r="L43" s="19"/>
      <c r="M43" s="156" t="str">
        <f>入力シート!$I$51</f>
        <v/>
      </c>
      <c r="N43" s="156">
        <f>入力シート!$J$51</f>
        <v>0</v>
      </c>
      <c r="O43" s="156">
        <f>入力シート!$K$51</f>
        <v>0</v>
      </c>
      <c r="P43" s="156">
        <f>入力シート!$L$51</f>
        <v>0</v>
      </c>
      <c r="Q43" s="156">
        <f>入力シート!$M$51</f>
        <v>0</v>
      </c>
      <c r="R43" s="156">
        <f>入力シート!$N$51</f>
        <v>0</v>
      </c>
      <c r="S43" s="156">
        <f>入力シート!$O$51</f>
        <v>0</v>
      </c>
      <c r="T43" s="156">
        <f>入力シート!$P$51</f>
        <v>0</v>
      </c>
      <c r="U43" s="242">
        <f>入力シート!$Q$51</f>
        <v>0</v>
      </c>
      <c r="V43" s="242">
        <f>入力シート!$R$51</f>
        <v>0</v>
      </c>
      <c r="W43" s="242">
        <f>入力シート!$S$51</f>
        <v>0</v>
      </c>
      <c r="X43" s="242">
        <f>入力シート!$T$51</f>
        <v>0</v>
      </c>
      <c r="Y43" s="242">
        <f>入力シート!$U$51</f>
        <v>0</v>
      </c>
      <c r="Z43" s="156">
        <f>入力シート!$V$51</f>
        <v>0</v>
      </c>
      <c r="AA43" s="242">
        <f>入力シート!$W$51</f>
        <v>0</v>
      </c>
      <c r="AB43" s="156">
        <f>入力シート!$X$51</f>
        <v>0</v>
      </c>
      <c r="AC43" s="156">
        <f>入力シート!$Y$51</f>
        <v>0</v>
      </c>
      <c r="AD43" s="156" t="str">
        <f>入力シート!$Z$51</f>
        <v/>
      </c>
      <c r="AE43" s="156">
        <f>入力シート!$AA$51</f>
        <v>0</v>
      </c>
      <c r="AF43" s="156" t="str">
        <f>入力シート!$AB$51</f>
        <v/>
      </c>
      <c r="AG43" s="156">
        <f>入力シート!$AC$51</f>
        <v>0</v>
      </c>
      <c r="AH43" s="156" t="str">
        <f>入力シート!$AD$51</f>
        <v/>
      </c>
      <c r="AI43" s="156">
        <f>入力シート!$AE$51</f>
        <v>0</v>
      </c>
      <c r="AJ43" s="156" t="str">
        <f>入力シート!$AF$51</f>
        <v/>
      </c>
      <c r="AK43" s="155">
        <f>入力シート!$AG$51</f>
        <v>0</v>
      </c>
      <c r="AL43" s="155" t="str">
        <f>入力シート!$AH$51</f>
        <v/>
      </c>
      <c r="AM43" s="155">
        <f>入力シート!$AI$51</f>
        <v>0</v>
      </c>
      <c r="AN43" s="158">
        <f>入力シート!$AJ$51</f>
        <v>0</v>
      </c>
      <c r="AO43" s="155" t="str">
        <f>入力シート!$AK$51</f>
        <v/>
      </c>
      <c r="AP43" s="158">
        <f>入力シート!$AR$51</f>
        <v>0</v>
      </c>
      <c r="AQ43" s="158">
        <f>入力シート!$AV$51</f>
        <v>0</v>
      </c>
      <c r="AR43" s="158">
        <f>入力シート!$AW$51</f>
        <v>0</v>
      </c>
      <c r="AS43" s="155">
        <f>入力シート!$BF$51</f>
        <v>0</v>
      </c>
      <c r="AT43" s="155">
        <f>入力シート!$BG$51</f>
        <v>0</v>
      </c>
    </row>
    <row r="44" spans="1:46" x14ac:dyDescent="0.15">
      <c r="A44" s="155">
        <v>41</v>
      </c>
      <c r="F44" s="155" t="str">
        <f>入力シート!$B$52</f>
        <v/>
      </c>
      <c r="H44" s="155">
        <f>入力シート!$D$52</f>
        <v>0</v>
      </c>
      <c r="I44" s="155">
        <f>入力シート!$E$52</f>
        <v>0</v>
      </c>
      <c r="J44" s="155">
        <f>入力シート!$F$52</f>
        <v>0</v>
      </c>
      <c r="K44" s="157">
        <f>入力シート!$G$52</f>
        <v>0</v>
      </c>
      <c r="L44" s="19"/>
      <c r="M44" s="156" t="str">
        <f>入力シート!$I$52</f>
        <v/>
      </c>
      <c r="N44" s="156">
        <f>入力シート!$J$52</f>
        <v>0</v>
      </c>
      <c r="O44" s="156">
        <f>入力シート!$K$52</f>
        <v>0</v>
      </c>
      <c r="P44" s="156">
        <f>入力シート!$L$52</f>
        <v>0</v>
      </c>
      <c r="Q44" s="156">
        <f>入力シート!$M$52</f>
        <v>0</v>
      </c>
      <c r="R44" s="156">
        <f>入力シート!$N$52</f>
        <v>0</v>
      </c>
      <c r="S44" s="156">
        <f>入力シート!$O$52</f>
        <v>0</v>
      </c>
      <c r="T44" s="156">
        <f>入力シート!$P$52</f>
        <v>0</v>
      </c>
      <c r="U44" s="242">
        <f>入力シート!$Q$52</f>
        <v>0</v>
      </c>
      <c r="V44" s="242">
        <f>入力シート!$R$52</f>
        <v>0</v>
      </c>
      <c r="W44" s="242">
        <f>入力シート!$S$52</f>
        <v>0</v>
      </c>
      <c r="X44" s="242">
        <f>入力シート!$T$52</f>
        <v>0</v>
      </c>
      <c r="Y44" s="242">
        <f>入力シート!$U$52</f>
        <v>0</v>
      </c>
      <c r="Z44" s="156">
        <f>入力シート!$V$52</f>
        <v>0</v>
      </c>
      <c r="AA44" s="242">
        <f>入力シート!$W$52</f>
        <v>0</v>
      </c>
      <c r="AB44" s="156">
        <f>入力シート!$X$52</f>
        <v>0</v>
      </c>
      <c r="AC44" s="156">
        <f>入力シート!$Y$52</f>
        <v>0</v>
      </c>
      <c r="AD44" s="156" t="str">
        <f>入力シート!$Z$52</f>
        <v/>
      </c>
      <c r="AE44" s="156">
        <f>入力シート!$AA$52</f>
        <v>0</v>
      </c>
      <c r="AF44" s="156" t="str">
        <f>入力シート!$AB$52</f>
        <v/>
      </c>
      <c r="AG44" s="156">
        <f>入力シート!$AC$52</f>
        <v>0</v>
      </c>
      <c r="AH44" s="156" t="str">
        <f>入力シート!$AD$52</f>
        <v/>
      </c>
      <c r="AI44" s="156">
        <f>入力シート!$AE$52</f>
        <v>0</v>
      </c>
      <c r="AJ44" s="156" t="str">
        <f>入力シート!$AF$52</f>
        <v/>
      </c>
      <c r="AK44" s="155">
        <f>入力シート!$AG$52</f>
        <v>0</v>
      </c>
      <c r="AL44" s="155" t="str">
        <f>入力シート!$AH$52</f>
        <v/>
      </c>
      <c r="AM44" s="155">
        <f>入力シート!$AI$52</f>
        <v>0</v>
      </c>
      <c r="AN44" s="158">
        <f>入力シート!$AJ$52</f>
        <v>0</v>
      </c>
      <c r="AO44" s="155" t="str">
        <f>入力シート!$AK$52</f>
        <v/>
      </c>
      <c r="AP44" s="158">
        <f>入力シート!$AR$52</f>
        <v>0</v>
      </c>
      <c r="AQ44" s="158">
        <f>入力シート!$AV$52</f>
        <v>0</v>
      </c>
      <c r="AR44" s="158">
        <f>入力シート!$AW$52</f>
        <v>0</v>
      </c>
      <c r="AS44" s="155">
        <f>入力シート!$BF$52</f>
        <v>0</v>
      </c>
      <c r="AT44" s="155">
        <f>入力シート!$BG$52</f>
        <v>0</v>
      </c>
    </row>
    <row r="45" spans="1:46" x14ac:dyDescent="0.15">
      <c r="A45" s="155">
        <v>42</v>
      </c>
      <c r="F45" s="155" t="str">
        <f>入力シート!$B$53</f>
        <v/>
      </c>
      <c r="H45" s="155">
        <f>入力シート!$D$53</f>
        <v>0</v>
      </c>
      <c r="I45" s="155">
        <f>入力シート!$E$53</f>
        <v>0</v>
      </c>
      <c r="J45" s="155">
        <f>入力シート!$F$53</f>
        <v>0</v>
      </c>
      <c r="K45" s="157">
        <f>入力シート!$G$53</f>
        <v>0</v>
      </c>
      <c r="L45" s="19"/>
      <c r="M45" s="156" t="str">
        <f>入力シート!$I$53</f>
        <v/>
      </c>
      <c r="N45" s="156">
        <f>入力シート!$J$53</f>
        <v>0</v>
      </c>
      <c r="O45" s="156">
        <f>入力シート!$K$53</f>
        <v>0</v>
      </c>
      <c r="P45" s="156">
        <f>入力シート!$L$53</f>
        <v>0</v>
      </c>
      <c r="Q45" s="156">
        <f>入力シート!$M$53</f>
        <v>0</v>
      </c>
      <c r="R45" s="156">
        <f>入力シート!$N$53</f>
        <v>0</v>
      </c>
      <c r="S45" s="156">
        <f>入力シート!$O$53</f>
        <v>0</v>
      </c>
      <c r="T45" s="156">
        <f>入力シート!$P$53</f>
        <v>0</v>
      </c>
      <c r="U45" s="242">
        <f>入力シート!$Q$53</f>
        <v>0</v>
      </c>
      <c r="V45" s="242">
        <f>入力シート!$R$53</f>
        <v>0</v>
      </c>
      <c r="W45" s="242">
        <f>入力シート!$S$53</f>
        <v>0</v>
      </c>
      <c r="X45" s="242">
        <f>入力シート!$T$53</f>
        <v>0</v>
      </c>
      <c r="Y45" s="242">
        <f>入力シート!$U$53</f>
        <v>0</v>
      </c>
      <c r="Z45" s="156">
        <f>入力シート!$V$53</f>
        <v>0</v>
      </c>
      <c r="AA45" s="242">
        <f>入力シート!$W$53</f>
        <v>0</v>
      </c>
      <c r="AB45" s="156">
        <f>入力シート!$X$53</f>
        <v>0</v>
      </c>
      <c r="AC45" s="156">
        <f>入力シート!$Y$53</f>
        <v>0</v>
      </c>
      <c r="AD45" s="156" t="str">
        <f>入力シート!$Z$53</f>
        <v/>
      </c>
      <c r="AE45" s="156">
        <f>入力シート!$AA$53</f>
        <v>0</v>
      </c>
      <c r="AF45" s="156" t="str">
        <f>入力シート!$AB$53</f>
        <v/>
      </c>
      <c r="AG45" s="156">
        <f>入力シート!$AC$53</f>
        <v>0</v>
      </c>
      <c r="AH45" s="156" t="str">
        <f>入力シート!$AD$53</f>
        <v/>
      </c>
      <c r="AI45" s="156">
        <f>入力シート!$AE$53</f>
        <v>0</v>
      </c>
      <c r="AJ45" s="156" t="str">
        <f>入力シート!$AF$53</f>
        <v/>
      </c>
      <c r="AK45" s="155">
        <f>入力シート!$AG$53</f>
        <v>0</v>
      </c>
      <c r="AL45" s="155" t="str">
        <f>入力シート!$AH$53</f>
        <v/>
      </c>
      <c r="AM45" s="155">
        <f>入力シート!$AI$53</f>
        <v>0</v>
      </c>
      <c r="AN45" s="158">
        <f>入力シート!$AJ$53</f>
        <v>0</v>
      </c>
      <c r="AO45" s="155" t="str">
        <f>入力シート!$AK$53</f>
        <v/>
      </c>
      <c r="AP45" s="158">
        <f>入力シート!$AR$53</f>
        <v>0</v>
      </c>
      <c r="AQ45" s="158">
        <f>入力シート!$AV$53</f>
        <v>0</v>
      </c>
      <c r="AR45" s="158">
        <f>入力シート!$AW$53</f>
        <v>0</v>
      </c>
      <c r="AS45" s="155">
        <f>入力シート!$BF$53</f>
        <v>0</v>
      </c>
      <c r="AT45" s="155">
        <f>入力シート!$BG$53</f>
        <v>0</v>
      </c>
    </row>
    <row r="46" spans="1:46" x14ac:dyDescent="0.15">
      <c r="A46" s="155">
        <v>43</v>
      </c>
      <c r="F46" s="155" t="str">
        <f>入力シート!$B$54</f>
        <v/>
      </c>
      <c r="H46" s="155">
        <f>入力シート!$D$54</f>
        <v>0</v>
      </c>
      <c r="I46" s="155">
        <f>入力シート!$E$54</f>
        <v>0</v>
      </c>
      <c r="J46" s="155">
        <f>入力シート!$F$54</f>
        <v>0</v>
      </c>
      <c r="K46" s="157">
        <f>入力シート!$G$54</f>
        <v>0</v>
      </c>
      <c r="L46" s="19"/>
      <c r="M46" s="156" t="str">
        <f>入力シート!$I$54</f>
        <v/>
      </c>
      <c r="N46" s="156">
        <f>入力シート!$J$54</f>
        <v>0</v>
      </c>
      <c r="O46" s="156">
        <f>入力シート!$K$54</f>
        <v>0</v>
      </c>
      <c r="P46" s="156">
        <f>入力シート!$L$54</f>
        <v>0</v>
      </c>
      <c r="Q46" s="156">
        <f>入力シート!$M$54</f>
        <v>0</v>
      </c>
      <c r="R46" s="156">
        <f>入力シート!$N$54</f>
        <v>0</v>
      </c>
      <c r="S46" s="156">
        <f>入力シート!$O$54</f>
        <v>0</v>
      </c>
      <c r="T46" s="156">
        <f>入力シート!$P$54</f>
        <v>0</v>
      </c>
      <c r="U46" s="242">
        <f>入力シート!$Q$54</f>
        <v>0</v>
      </c>
      <c r="V46" s="242">
        <f>入力シート!$R$54</f>
        <v>0</v>
      </c>
      <c r="W46" s="242">
        <f>入力シート!$S$54</f>
        <v>0</v>
      </c>
      <c r="X46" s="242">
        <f>入力シート!$T$54</f>
        <v>0</v>
      </c>
      <c r="Y46" s="242">
        <f>入力シート!$U$54</f>
        <v>0</v>
      </c>
      <c r="Z46" s="156">
        <f>入力シート!$V$54</f>
        <v>0</v>
      </c>
      <c r="AA46" s="242">
        <f>入力シート!$W$54</f>
        <v>0</v>
      </c>
      <c r="AB46" s="156">
        <f>入力シート!$X$54</f>
        <v>0</v>
      </c>
      <c r="AC46" s="156">
        <f>入力シート!$Y$54</f>
        <v>0</v>
      </c>
      <c r="AD46" s="156" t="str">
        <f>入力シート!$Z$54</f>
        <v/>
      </c>
      <c r="AE46" s="156">
        <f>入力シート!$AA$54</f>
        <v>0</v>
      </c>
      <c r="AF46" s="156" t="str">
        <f>入力シート!$AB$54</f>
        <v/>
      </c>
      <c r="AG46" s="156">
        <f>入力シート!$AC$54</f>
        <v>0</v>
      </c>
      <c r="AH46" s="156" t="str">
        <f>入力シート!$AD$54</f>
        <v/>
      </c>
      <c r="AI46" s="156">
        <f>入力シート!$AE$54</f>
        <v>0</v>
      </c>
      <c r="AJ46" s="156" t="str">
        <f>入力シート!$AF$54</f>
        <v/>
      </c>
      <c r="AK46" s="155">
        <f>入力シート!$AG$54</f>
        <v>0</v>
      </c>
      <c r="AL46" s="155" t="str">
        <f>入力シート!$AH$54</f>
        <v/>
      </c>
      <c r="AM46" s="155">
        <f>入力シート!$AI$54</f>
        <v>0</v>
      </c>
      <c r="AN46" s="158">
        <f>入力シート!$AJ$54</f>
        <v>0</v>
      </c>
      <c r="AO46" s="155" t="str">
        <f>入力シート!$AK$54</f>
        <v/>
      </c>
      <c r="AP46" s="158">
        <f>入力シート!$AR$54</f>
        <v>0</v>
      </c>
      <c r="AQ46" s="158">
        <f>入力シート!$AV$54</f>
        <v>0</v>
      </c>
      <c r="AR46" s="158">
        <f>入力シート!$AW$54</f>
        <v>0</v>
      </c>
      <c r="AS46" s="155">
        <f>入力シート!$BF$54</f>
        <v>0</v>
      </c>
      <c r="AT46" s="155">
        <f>入力シート!$BG$54</f>
        <v>0</v>
      </c>
    </row>
    <row r="47" spans="1:46" x14ac:dyDescent="0.15">
      <c r="A47" s="155">
        <v>44</v>
      </c>
      <c r="F47" s="155" t="str">
        <f>入力シート!$B$55</f>
        <v/>
      </c>
      <c r="H47" s="155">
        <f>入力シート!$D$55</f>
        <v>0</v>
      </c>
      <c r="I47" s="155">
        <f>入力シート!$E$55</f>
        <v>0</v>
      </c>
      <c r="J47" s="155">
        <f>入力シート!$F$55</f>
        <v>0</v>
      </c>
      <c r="K47" s="157">
        <f>入力シート!$G$55</f>
        <v>0</v>
      </c>
      <c r="L47" s="19"/>
      <c r="M47" s="156" t="str">
        <f>入力シート!$I$55</f>
        <v/>
      </c>
      <c r="N47" s="156">
        <f>入力シート!$J$55</f>
        <v>0</v>
      </c>
      <c r="O47" s="156">
        <f>入力シート!$K$55</f>
        <v>0</v>
      </c>
      <c r="P47" s="156">
        <f>入力シート!$L$55</f>
        <v>0</v>
      </c>
      <c r="Q47" s="156">
        <f>入力シート!$M$55</f>
        <v>0</v>
      </c>
      <c r="R47" s="156">
        <f>入力シート!$N$55</f>
        <v>0</v>
      </c>
      <c r="S47" s="156">
        <f>入力シート!$O$55</f>
        <v>0</v>
      </c>
      <c r="T47" s="156">
        <f>入力シート!$P$55</f>
        <v>0</v>
      </c>
      <c r="U47" s="242">
        <f>入力シート!$Q$55</f>
        <v>0</v>
      </c>
      <c r="V47" s="242">
        <f>入力シート!$R$55</f>
        <v>0</v>
      </c>
      <c r="W47" s="242">
        <f>入力シート!$S$55</f>
        <v>0</v>
      </c>
      <c r="X47" s="242">
        <f>入力シート!$T$55</f>
        <v>0</v>
      </c>
      <c r="Y47" s="242">
        <f>入力シート!$U$55</f>
        <v>0</v>
      </c>
      <c r="Z47" s="156">
        <f>入力シート!$V$55</f>
        <v>0</v>
      </c>
      <c r="AA47" s="242">
        <f>入力シート!$W$55</f>
        <v>0</v>
      </c>
      <c r="AB47" s="156">
        <f>入力シート!$X$55</f>
        <v>0</v>
      </c>
      <c r="AC47" s="156">
        <f>入力シート!$Y$55</f>
        <v>0</v>
      </c>
      <c r="AD47" s="156" t="str">
        <f>入力シート!$Z$55</f>
        <v/>
      </c>
      <c r="AE47" s="156">
        <f>入力シート!$AA$55</f>
        <v>0</v>
      </c>
      <c r="AF47" s="156" t="str">
        <f>入力シート!$AB$55</f>
        <v/>
      </c>
      <c r="AG47" s="156">
        <f>入力シート!$AC$55</f>
        <v>0</v>
      </c>
      <c r="AH47" s="156" t="str">
        <f>入力シート!$AD$55</f>
        <v/>
      </c>
      <c r="AI47" s="156">
        <f>入力シート!$AE$55</f>
        <v>0</v>
      </c>
      <c r="AJ47" s="156" t="str">
        <f>入力シート!$AF$55</f>
        <v/>
      </c>
      <c r="AK47" s="155">
        <f>入力シート!$AG$55</f>
        <v>0</v>
      </c>
      <c r="AL47" s="155" t="str">
        <f>入力シート!$AH$55</f>
        <v/>
      </c>
      <c r="AM47" s="155">
        <f>入力シート!$AI$55</f>
        <v>0</v>
      </c>
      <c r="AN47" s="158">
        <f>入力シート!$AJ$55</f>
        <v>0</v>
      </c>
      <c r="AO47" s="155" t="str">
        <f>入力シート!$AK$55</f>
        <v/>
      </c>
      <c r="AP47" s="158">
        <f>入力シート!$AR$55</f>
        <v>0</v>
      </c>
      <c r="AQ47" s="158">
        <f>入力シート!$AV$55</f>
        <v>0</v>
      </c>
      <c r="AR47" s="158">
        <f>入力シート!$AW$55</f>
        <v>0</v>
      </c>
      <c r="AS47" s="155">
        <f>入力シート!$BF$55</f>
        <v>0</v>
      </c>
      <c r="AT47" s="155">
        <f>入力シート!$BG$55</f>
        <v>0</v>
      </c>
    </row>
    <row r="48" spans="1:46" x14ac:dyDescent="0.15">
      <c r="A48" s="155">
        <v>45</v>
      </c>
      <c r="F48" s="155" t="str">
        <f>入力シート!$B$56</f>
        <v/>
      </c>
      <c r="H48" s="155">
        <f>入力シート!$D$56</f>
        <v>0</v>
      </c>
      <c r="I48" s="155">
        <f>入力シート!$E$56</f>
        <v>0</v>
      </c>
      <c r="J48" s="155">
        <f>入力シート!$F$56</f>
        <v>0</v>
      </c>
      <c r="K48" s="157">
        <f>入力シート!$G$56</f>
        <v>0</v>
      </c>
      <c r="L48" s="19"/>
      <c r="M48" s="156" t="str">
        <f>入力シート!$I$56</f>
        <v/>
      </c>
      <c r="N48" s="156">
        <f>入力シート!$J$56</f>
        <v>0</v>
      </c>
      <c r="O48" s="156">
        <f>入力シート!$K$56</f>
        <v>0</v>
      </c>
      <c r="P48" s="156">
        <f>入力シート!$L$56</f>
        <v>0</v>
      </c>
      <c r="Q48" s="156">
        <f>入力シート!$M$56</f>
        <v>0</v>
      </c>
      <c r="R48" s="156">
        <f>入力シート!$N$56</f>
        <v>0</v>
      </c>
      <c r="S48" s="156">
        <f>入力シート!$O$56</f>
        <v>0</v>
      </c>
      <c r="T48" s="156">
        <f>入力シート!$P$56</f>
        <v>0</v>
      </c>
      <c r="U48" s="242">
        <f>入力シート!$Q$56</f>
        <v>0</v>
      </c>
      <c r="V48" s="242">
        <f>入力シート!$R$56</f>
        <v>0</v>
      </c>
      <c r="W48" s="242">
        <f>入力シート!$S$56</f>
        <v>0</v>
      </c>
      <c r="X48" s="242">
        <f>入力シート!$T$56</f>
        <v>0</v>
      </c>
      <c r="Y48" s="242">
        <f>入力シート!$U$56</f>
        <v>0</v>
      </c>
      <c r="Z48" s="156">
        <f>入力シート!$V$56</f>
        <v>0</v>
      </c>
      <c r="AA48" s="242">
        <f>入力シート!$W$56</f>
        <v>0</v>
      </c>
      <c r="AB48" s="156">
        <f>入力シート!$X$56</f>
        <v>0</v>
      </c>
      <c r="AC48" s="156">
        <f>入力シート!$Y$56</f>
        <v>0</v>
      </c>
      <c r="AD48" s="156" t="str">
        <f>入力シート!$Z$56</f>
        <v/>
      </c>
      <c r="AE48" s="156">
        <f>入力シート!$AA$56</f>
        <v>0</v>
      </c>
      <c r="AF48" s="156" t="str">
        <f>入力シート!$AB$56</f>
        <v/>
      </c>
      <c r="AG48" s="156">
        <f>入力シート!$AC$56</f>
        <v>0</v>
      </c>
      <c r="AH48" s="156" t="str">
        <f>入力シート!$AD$56</f>
        <v/>
      </c>
      <c r="AI48" s="156">
        <f>入力シート!$AE$56</f>
        <v>0</v>
      </c>
      <c r="AJ48" s="156" t="str">
        <f>入力シート!$AF$56</f>
        <v/>
      </c>
      <c r="AK48" s="155">
        <f>入力シート!$AG$56</f>
        <v>0</v>
      </c>
      <c r="AL48" s="155" t="str">
        <f>入力シート!$AH$56</f>
        <v/>
      </c>
      <c r="AM48" s="155">
        <f>入力シート!$AI$56</f>
        <v>0</v>
      </c>
      <c r="AN48" s="158">
        <f>入力シート!$AJ$56</f>
        <v>0</v>
      </c>
      <c r="AO48" s="155" t="str">
        <f>入力シート!$AK$56</f>
        <v/>
      </c>
      <c r="AP48" s="158">
        <f>入力シート!$AR$56</f>
        <v>0</v>
      </c>
      <c r="AQ48" s="158">
        <f>入力シート!$AV$56</f>
        <v>0</v>
      </c>
      <c r="AR48" s="158">
        <f>入力シート!$AW$56</f>
        <v>0</v>
      </c>
      <c r="AS48" s="155">
        <f>入力シート!$BF$56</f>
        <v>0</v>
      </c>
      <c r="AT48" s="155">
        <f>入力シート!$BG$56</f>
        <v>0</v>
      </c>
    </row>
    <row r="49" spans="1:46" x14ac:dyDescent="0.15">
      <c r="A49" s="155">
        <v>46</v>
      </c>
      <c r="F49" s="155" t="str">
        <f>入力シート!$B$57</f>
        <v/>
      </c>
      <c r="H49" s="155">
        <f>入力シート!$D$57</f>
        <v>0</v>
      </c>
      <c r="I49" s="155">
        <f>入力シート!$E$57</f>
        <v>0</v>
      </c>
      <c r="J49" s="155">
        <f>入力シート!$F$57</f>
        <v>0</v>
      </c>
      <c r="K49" s="157">
        <f>入力シート!$G$57</f>
        <v>0</v>
      </c>
      <c r="L49" s="19"/>
      <c r="M49" s="156" t="str">
        <f>入力シート!$I$57</f>
        <v/>
      </c>
      <c r="N49" s="156">
        <f>入力シート!$J$57</f>
        <v>0</v>
      </c>
      <c r="O49" s="156">
        <f>入力シート!$K$57</f>
        <v>0</v>
      </c>
      <c r="P49" s="156">
        <f>入力シート!$L$57</f>
        <v>0</v>
      </c>
      <c r="Q49" s="156">
        <f>入力シート!$M$57</f>
        <v>0</v>
      </c>
      <c r="R49" s="156">
        <f>入力シート!$N$57</f>
        <v>0</v>
      </c>
      <c r="S49" s="156">
        <f>入力シート!$O$57</f>
        <v>0</v>
      </c>
      <c r="T49" s="156">
        <f>入力シート!$P$57</f>
        <v>0</v>
      </c>
      <c r="U49" s="242">
        <f>入力シート!$Q$57</f>
        <v>0</v>
      </c>
      <c r="V49" s="242">
        <f>入力シート!$R$57</f>
        <v>0</v>
      </c>
      <c r="W49" s="242">
        <f>入力シート!$S$57</f>
        <v>0</v>
      </c>
      <c r="X49" s="242">
        <f>入力シート!$T$57</f>
        <v>0</v>
      </c>
      <c r="Y49" s="242">
        <f>入力シート!$U$57</f>
        <v>0</v>
      </c>
      <c r="Z49" s="156">
        <f>入力シート!$V$57</f>
        <v>0</v>
      </c>
      <c r="AA49" s="242">
        <f>入力シート!$W$57</f>
        <v>0</v>
      </c>
      <c r="AB49" s="156">
        <f>入力シート!$X$57</f>
        <v>0</v>
      </c>
      <c r="AC49" s="156">
        <f>入力シート!$Y$57</f>
        <v>0</v>
      </c>
      <c r="AD49" s="156" t="str">
        <f>入力シート!$Z$57</f>
        <v/>
      </c>
      <c r="AE49" s="156">
        <f>入力シート!$AA$57</f>
        <v>0</v>
      </c>
      <c r="AF49" s="156" t="str">
        <f>入力シート!$AB$57</f>
        <v/>
      </c>
      <c r="AG49" s="156">
        <f>入力シート!$AC$57</f>
        <v>0</v>
      </c>
      <c r="AH49" s="156" t="str">
        <f>入力シート!$AD$57</f>
        <v/>
      </c>
      <c r="AI49" s="156">
        <f>入力シート!$AE$57</f>
        <v>0</v>
      </c>
      <c r="AJ49" s="156" t="str">
        <f>入力シート!$AF$57</f>
        <v/>
      </c>
      <c r="AK49" s="155">
        <f>入力シート!$AG$57</f>
        <v>0</v>
      </c>
      <c r="AL49" s="155" t="str">
        <f>入力シート!$AH$57</f>
        <v/>
      </c>
      <c r="AM49" s="155">
        <f>入力シート!$AI$57</f>
        <v>0</v>
      </c>
      <c r="AN49" s="158">
        <f>入力シート!$AJ$57</f>
        <v>0</v>
      </c>
      <c r="AO49" s="155" t="str">
        <f>入力シート!$AK$57</f>
        <v/>
      </c>
      <c r="AP49" s="158">
        <f>入力シート!$AR$57</f>
        <v>0</v>
      </c>
      <c r="AQ49" s="158">
        <f>入力シート!$AV$57</f>
        <v>0</v>
      </c>
      <c r="AR49" s="158">
        <f>入力シート!$AW$57</f>
        <v>0</v>
      </c>
      <c r="AS49" s="155">
        <f>入力シート!$BF$57</f>
        <v>0</v>
      </c>
      <c r="AT49" s="155">
        <f>入力シート!$BG$57</f>
        <v>0</v>
      </c>
    </row>
    <row r="50" spans="1:46" x14ac:dyDescent="0.15">
      <c r="A50" s="155">
        <v>47</v>
      </c>
      <c r="F50" s="155" t="str">
        <f>入力シート!$B$58</f>
        <v/>
      </c>
      <c r="H50" s="155">
        <f>入力シート!$D$58</f>
        <v>0</v>
      </c>
      <c r="I50" s="155">
        <f>入力シート!$E$58</f>
        <v>0</v>
      </c>
      <c r="J50" s="155">
        <f>入力シート!$F$58</f>
        <v>0</v>
      </c>
      <c r="K50" s="157">
        <f>入力シート!$G$58</f>
        <v>0</v>
      </c>
      <c r="L50" s="19"/>
      <c r="M50" s="156" t="str">
        <f>入力シート!$I$58</f>
        <v/>
      </c>
      <c r="N50" s="156">
        <f>入力シート!$J$58</f>
        <v>0</v>
      </c>
      <c r="O50" s="156">
        <f>入力シート!$K$58</f>
        <v>0</v>
      </c>
      <c r="P50" s="156">
        <f>入力シート!$L$58</f>
        <v>0</v>
      </c>
      <c r="Q50" s="156">
        <f>入力シート!$M$58</f>
        <v>0</v>
      </c>
      <c r="R50" s="156">
        <f>入力シート!$N$58</f>
        <v>0</v>
      </c>
      <c r="S50" s="156">
        <f>入力シート!$O$58</f>
        <v>0</v>
      </c>
      <c r="T50" s="156">
        <f>入力シート!$P$58</f>
        <v>0</v>
      </c>
      <c r="U50" s="242">
        <f>入力シート!$Q$58</f>
        <v>0</v>
      </c>
      <c r="V50" s="242">
        <f>入力シート!$R$58</f>
        <v>0</v>
      </c>
      <c r="W50" s="242">
        <f>入力シート!$S$58</f>
        <v>0</v>
      </c>
      <c r="X50" s="242">
        <f>入力シート!$T$58</f>
        <v>0</v>
      </c>
      <c r="Y50" s="242">
        <f>入力シート!$U$58</f>
        <v>0</v>
      </c>
      <c r="Z50" s="156">
        <f>入力シート!$V$58</f>
        <v>0</v>
      </c>
      <c r="AA50" s="242">
        <f>入力シート!$W$58</f>
        <v>0</v>
      </c>
      <c r="AB50" s="156">
        <f>入力シート!$X$58</f>
        <v>0</v>
      </c>
      <c r="AC50" s="156">
        <f>入力シート!$Y$58</f>
        <v>0</v>
      </c>
      <c r="AD50" s="156" t="str">
        <f>入力シート!$Z$58</f>
        <v/>
      </c>
      <c r="AE50" s="156">
        <f>入力シート!$AA$58</f>
        <v>0</v>
      </c>
      <c r="AF50" s="156" t="str">
        <f>入力シート!$AB$58</f>
        <v/>
      </c>
      <c r="AG50" s="156">
        <f>入力シート!$AC$58</f>
        <v>0</v>
      </c>
      <c r="AH50" s="156" t="str">
        <f>入力シート!$AD$58</f>
        <v/>
      </c>
      <c r="AI50" s="156">
        <f>入力シート!$AE$58</f>
        <v>0</v>
      </c>
      <c r="AJ50" s="156" t="str">
        <f>入力シート!$AF$58</f>
        <v/>
      </c>
      <c r="AK50" s="155">
        <f>入力シート!$AG$58</f>
        <v>0</v>
      </c>
      <c r="AL50" s="155" t="str">
        <f>入力シート!$AH$58</f>
        <v/>
      </c>
      <c r="AM50" s="155">
        <f>入力シート!$AI$58</f>
        <v>0</v>
      </c>
      <c r="AN50" s="158">
        <f>入力シート!$AJ$58</f>
        <v>0</v>
      </c>
      <c r="AO50" s="155" t="str">
        <f>入力シート!$AK$58</f>
        <v/>
      </c>
      <c r="AP50" s="158">
        <f>入力シート!$AR$58</f>
        <v>0</v>
      </c>
      <c r="AQ50" s="158">
        <f>入力シート!$AV$58</f>
        <v>0</v>
      </c>
      <c r="AR50" s="158">
        <f>入力シート!$AW$58</f>
        <v>0</v>
      </c>
      <c r="AS50" s="155">
        <f>入力シート!$BF$58</f>
        <v>0</v>
      </c>
      <c r="AT50" s="155">
        <f>入力シート!$BG$58</f>
        <v>0</v>
      </c>
    </row>
    <row r="51" spans="1:46" x14ac:dyDescent="0.15">
      <c r="A51" s="155">
        <v>48</v>
      </c>
      <c r="F51" s="155" t="str">
        <f>入力シート!$B$59</f>
        <v/>
      </c>
      <c r="H51" s="155">
        <f>入力シート!$D$59</f>
        <v>0</v>
      </c>
      <c r="I51" s="155">
        <f>入力シート!$E$59</f>
        <v>0</v>
      </c>
      <c r="J51" s="155">
        <f>入力シート!$F$59</f>
        <v>0</v>
      </c>
      <c r="K51" s="157">
        <f>入力シート!$G$59</f>
        <v>0</v>
      </c>
      <c r="L51" s="19"/>
      <c r="M51" s="156" t="str">
        <f>入力シート!$I$59</f>
        <v/>
      </c>
      <c r="N51" s="156">
        <f>入力シート!$J$59</f>
        <v>0</v>
      </c>
      <c r="O51" s="156">
        <f>入力シート!$K$59</f>
        <v>0</v>
      </c>
      <c r="P51" s="156">
        <f>入力シート!$L$59</f>
        <v>0</v>
      </c>
      <c r="Q51" s="156">
        <f>入力シート!$M$59</f>
        <v>0</v>
      </c>
      <c r="R51" s="156">
        <f>入力シート!$N$59</f>
        <v>0</v>
      </c>
      <c r="S51" s="156">
        <f>入力シート!$O$59</f>
        <v>0</v>
      </c>
      <c r="T51" s="156">
        <f>入力シート!$P$59</f>
        <v>0</v>
      </c>
      <c r="U51" s="242">
        <f>入力シート!$Q$59</f>
        <v>0</v>
      </c>
      <c r="V51" s="242">
        <f>入力シート!$R$59</f>
        <v>0</v>
      </c>
      <c r="W51" s="242">
        <f>入力シート!$S$59</f>
        <v>0</v>
      </c>
      <c r="X51" s="242">
        <f>入力シート!$T$59</f>
        <v>0</v>
      </c>
      <c r="Y51" s="242">
        <f>入力シート!$U$59</f>
        <v>0</v>
      </c>
      <c r="Z51" s="156">
        <f>入力シート!$V$59</f>
        <v>0</v>
      </c>
      <c r="AA51" s="242">
        <f>入力シート!$W$59</f>
        <v>0</v>
      </c>
      <c r="AB51" s="156">
        <f>入力シート!$X$59</f>
        <v>0</v>
      </c>
      <c r="AC51" s="156">
        <f>入力シート!$Y$59</f>
        <v>0</v>
      </c>
      <c r="AD51" s="156" t="str">
        <f>入力シート!$Z$59</f>
        <v/>
      </c>
      <c r="AE51" s="156">
        <f>入力シート!$AA$59</f>
        <v>0</v>
      </c>
      <c r="AF51" s="156" t="str">
        <f>入力シート!$AB$59</f>
        <v/>
      </c>
      <c r="AG51" s="156">
        <f>入力シート!$AC$59</f>
        <v>0</v>
      </c>
      <c r="AH51" s="156" t="str">
        <f>入力シート!$AD$59</f>
        <v/>
      </c>
      <c r="AI51" s="156">
        <f>入力シート!$AE$59</f>
        <v>0</v>
      </c>
      <c r="AJ51" s="156" t="str">
        <f>入力シート!$AF$59</f>
        <v/>
      </c>
      <c r="AK51" s="155">
        <f>入力シート!$AG$59</f>
        <v>0</v>
      </c>
      <c r="AL51" s="155" t="str">
        <f>入力シート!$AH$59</f>
        <v/>
      </c>
      <c r="AM51" s="155">
        <f>入力シート!$AI$59</f>
        <v>0</v>
      </c>
      <c r="AN51" s="158">
        <f>入力シート!$AJ$59</f>
        <v>0</v>
      </c>
      <c r="AO51" s="155" t="str">
        <f>入力シート!$AK$59</f>
        <v/>
      </c>
      <c r="AP51" s="158">
        <f>入力シート!$AR$59</f>
        <v>0</v>
      </c>
      <c r="AQ51" s="158">
        <f>入力シート!$AV$59</f>
        <v>0</v>
      </c>
      <c r="AR51" s="158">
        <f>入力シート!$AW$59</f>
        <v>0</v>
      </c>
      <c r="AS51" s="155">
        <f>入力シート!$BF$59</f>
        <v>0</v>
      </c>
      <c r="AT51" s="155">
        <f>入力シート!$BG$59</f>
        <v>0</v>
      </c>
    </row>
    <row r="52" spans="1:46" x14ac:dyDescent="0.15">
      <c r="A52" s="155">
        <v>49</v>
      </c>
      <c r="F52" s="155" t="str">
        <f>入力シート!$B$60</f>
        <v/>
      </c>
      <c r="H52" s="155">
        <f>入力シート!$D$60</f>
        <v>0</v>
      </c>
      <c r="I52" s="155">
        <f>入力シート!$E$60</f>
        <v>0</v>
      </c>
      <c r="J52" s="155">
        <f>入力シート!$F$60</f>
        <v>0</v>
      </c>
      <c r="K52" s="157">
        <f>入力シート!$G$60</f>
        <v>0</v>
      </c>
      <c r="L52" s="19"/>
      <c r="M52" s="156" t="str">
        <f>入力シート!$I$60</f>
        <v/>
      </c>
      <c r="N52" s="156">
        <f>入力シート!$J$60</f>
        <v>0</v>
      </c>
      <c r="O52" s="156">
        <f>入力シート!$K$60</f>
        <v>0</v>
      </c>
      <c r="P52" s="156">
        <f>入力シート!$L$60</f>
        <v>0</v>
      </c>
      <c r="Q52" s="156">
        <f>入力シート!$M$60</f>
        <v>0</v>
      </c>
      <c r="R52" s="156">
        <f>入力シート!$N$60</f>
        <v>0</v>
      </c>
      <c r="S52" s="156">
        <f>入力シート!$O$60</f>
        <v>0</v>
      </c>
      <c r="T52" s="156">
        <f>入力シート!$P$60</f>
        <v>0</v>
      </c>
      <c r="U52" s="242">
        <f>入力シート!$Q$60</f>
        <v>0</v>
      </c>
      <c r="V52" s="242">
        <f>入力シート!$R$60</f>
        <v>0</v>
      </c>
      <c r="W52" s="242">
        <f>入力シート!$S$60</f>
        <v>0</v>
      </c>
      <c r="X52" s="242">
        <f>入力シート!$T$60</f>
        <v>0</v>
      </c>
      <c r="Y52" s="242">
        <f>入力シート!$U$60</f>
        <v>0</v>
      </c>
      <c r="Z52" s="156">
        <f>入力シート!$V$60</f>
        <v>0</v>
      </c>
      <c r="AA52" s="242">
        <f>入力シート!$W$60</f>
        <v>0</v>
      </c>
      <c r="AB52" s="156">
        <f>入力シート!$X$60</f>
        <v>0</v>
      </c>
      <c r="AC52" s="156">
        <f>入力シート!$Y$60</f>
        <v>0</v>
      </c>
      <c r="AD52" s="156" t="str">
        <f>入力シート!$Z$60</f>
        <v/>
      </c>
      <c r="AE52" s="156">
        <f>入力シート!$AA$60</f>
        <v>0</v>
      </c>
      <c r="AF52" s="156" t="str">
        <f>入力シート!$AB$60</f>
        <v/>
      </c>
      <c r="AG52" s="156">
        <f>入力シート!$AC$60</f>
        <v>0</v>
      </c>
      <c r="AH52" s="156" t="str">
        <f>入力シート!$AD$60</f>
        <v/>
      </c>
      <c r="AI52" s="156">
        <f>入力シート!$AE$60</f>
        <v>0</v>
      </c>
      <c r="AJ52" s="156" t="str">
        <f>入力シート!$AF$60</f>
        <v/>
      </c>
      <c r="AK52" s="155">
        <f>入力シート!$AG$60</f>
        <v>0</v>
      </c>
      <c r="AL52" s="155" t="str">
        <f>入力シート!$AH$60</f>
        <v/>
      </c>
      <c r="AM52" s="155">
        <f>入力シート!$AI$60</f>
        <v>0</v>
      </c>
      <c r="AN52" s="158">
        <f>入力シート!$AJ$60</f>
        <v>0</v>
      </c>
      <c r="AO52" s="155" t="str">
        <f>入力シート!$AK$60</f>
        <v/>
      </c>
      <c r="AP52" s="158">
        <f>入力シート!$AR$60</f>
        <v>0</v>
      </c>
      <c r="AQ52" s="158">
        <f>入力シート!$AV$60</f>
        <v>0</v>
      </c>
      <c r="AR52" s="158">
        <f>入力シート!$AW$60</f>
        <v>0</v>
      </c>
      <c r="AS52" s="155">
        <f>入力シート!$BF$60</f>
        <v>0</v>
      </c>
      <c r="AT52" s="155">
        <f>入力シート!$BG$60</f>
        <v>0</v>
      </c>
    </row>
    <row r="53" spans="1:46" x14ac:dyDescent="0.15">
      <c r="A53" s="155">
        <v>50</v>
      </c>
      <c r="F53" s="155" t="str">
        <f>入力シート!$B$61</f>
        <v/>
      </c>
      <c r="H53" s="155">
        <f>入力シート!$D$61</f>
        <v>0</v>
      </c>
      <c r="I53" s="155">
        <f>入力シート!$E$61</f>
        <v>0</v>
      </c>
      <c r="J53" s="155">
        <f>入力シート!$F$61</f>
        <v>0</v>
      </c>
      <c r="K53" s="157">
        <f>入力シート!$G$61</f>
        <v>0</v>
      </c>
      <c r="L53" s="19"/>
      <c r="M53" s="156" t="str">
        <f>入力シート!$I$61</f>
        <v/>
      </c>
      <c r="N53" s="156">
        <f>入力シート!$J$61</f>
        <v>0</v>
      </c>
      <c r="O53" s="156">
        <f>入力シート!$K$61</f>
        <v>0</v>
      </c>
      <c r="P53" s="156">
        <f>入力シート!$L$61</f>
        <v>0</v>
      </c>
      <c r="Q53" s="156">
        <f>入力シート!$M$61</f>
        <v>0</v>
      </c>
      <c r="R53" s="156">
        <f>入力シート!$N$61</f>
        <v>0</v>
      </c>
      <c r="S53" s="156">
        <f>入力シート!$O$61</f>
        <v>0</v>
      </c>
      <c r="T53" s="156">
        <f>入力シート!$P$61</f>
        <v>0</v>
      </c>
      <c r="U53" s="242">
        <f>入力シート!$Q$61</f>
        <v>0</v>
      </c>
      <c r="V53" s="242">
        <f>入力シート!$R$61</f>
        <v>0</v>
      </c>
      <c r="W53" s="242">
        <f>入力シート!$S$61</f>
        <v>0</v>
      </c>
      <c r="X53" s="242">
        <f>入力シート!$T$61</f>
        <v>0</v>
      </c>
      <c r="Y53" s="242">
        <f>入力シート!$U$61</f>
        <v>0</v>
      </c>
      <c r="Z53" s="156">
        <f>入力シート!$V$61</f>
        <v>0</v>
      </c>
      <c r="AA53" s="242">
        <f>入力シート!$W$61</f>
        <v>0</v>
      </c>
      <c r="AB53" s="156">
        <f>入力シート!$X$61</f>
        <v>0</v>
      </c>
      <c r="AC53" s="156">
        <f>入力シート!$Y$61</f>
        <v>0</v>
      </c>
      <c r="AD53" s="156" t="str">
        <f>入力シート!$Z$61</f>
        <v/>
      </c>
      <c r="AE53" s="156">
        <f>入力シート!$AA$61</f>
        <v>0</v>
      </c>
      <c r="AF53" s="156" t="str">
        <f>入力シート!$AB$61</f>
        <v/>
      </c>
      <c r="AG53" s="156">
        <f>入力シート!$AC$61</f>
        <v>0</v>
      </c>
      <c r="AH53" s="156" t="str">
        <f>入力シート!$AD$61</f>
        <v/>
      </c>
      <c r="AI53" s="156">
        <f>入力シート!$AE$61</f>
        <v>0</v>
      </c>
      <c r="AJ53" s="156" t="str">
        <f>入力シート!$AF$61</f>
        <v/>
      </c>
      <c r="AK53" s="155">
        <f>入力シート!$AG$61</f>
        <v>0</v>
      </c>
      <c r="AL53" s="155" t="str">
        <f>入力シート!$AH$61</f>
        <v/>
      </c>
      <c r="AM53" s="155">
        <f>入力シート!$AI$61</f>
        <v>0</v>
      </c>
      <c r="AN53" s="158">
        <f>入力シート!$AJ$61</f>
        <v>0</v>
      </c>
      <c r="AO53" s="155" t="str">
        <f>入力シート!$AK$61</f>
        <v/>
      </c>
      <c r="AP53" s="158">
        <f>入力シート!$AR$61</f>
        <v>0</v>
      </c>
      <c r="AQ53" s="158">
        <f>入力シート!$AV$61</f>
        <v>0</v>
      </c>
      <c r="AR53" s="158">
        <f>入力シート!$AW$61</f>
        <v>0</v>
      </c>
      <c r="AS53" s="155">
        <f>入力シート!$BF$61</f>
        <v>0</v>
      </c>
      <c r="AT53" s="155">
        <f>入力シート!$BG$61</f>
        <v>0</v>
      </c>
    </row>
    <row r="54" spans="1:46" x14ac:dyDescent="0.15">
      <c r="A54" s="155">
        <v>51</v>
      </c>
      <c r="F54" s="155" t="str">
        <f>入力シート!$B$62</f>
        <v/>
      </c>
      <c r="H54" s="155">
        <f>入力シート!$D$62</f>
        <v>0</v>
      </c>
      <c r="I54" s="155">
        <f>入力シート!$E$62</f>
        <v>0</v>
      </c>
      <c r="J54" s="155">
        <f>入力シート!$F$62</f>
        <v>0</v>
      </c>
      <c r="K54" s="157">
        <f>入力シート!$G$62</f>
        <v>0</v>
      </c>
      <c r="L54" s="19"/>
      <c r="M54" s="156" t="str">
        <f>入力シート!$I$62</f>
        <v/>
      </c>
      <c r="N54" s="156">
        <f>入力シート!$J$62</f>
        <v>0</v>
      </c>
      <c r="O54" s="156">
        <f>入力シート!$K$62</f>
        <v>0</v>
      </c>
      <c r="P54" s="156">
        <f>入力シート!$L$62</f>
        <v>0</v>
      </c>
      <c r="Q54" s="156">
        <f>入力シート!$M$62</f>
        <v>0</v>
      </c>
      <c r="R54" s="156">
        <f>入力シート!$N$62</f>
        <v>0</v>
      </c>
      <c r="S54" s="156">
        <f>入力シート!$O$62</f>
        <v>0</v>
      </c>
      <c r="T54" s="156">
        <f>入力シート!$P$62</f>
        <v>0</v>
      </c>
      <c r="U54" s="242">
        <f>入力シート!$Q$62</f>
        <v>0</v>
      </c>
      <c r="V54" s="242">
        <f>入力シート!$R$62</f>
        <v>0</v>
      </c>
      <c r="W54" s="242">
        <f>入力シート!$S$62</f>
        <v>0</v>
      </c>
      <c r="X54" s="242">
        <f>入力シート!$T$62</f>
        <v>0</v>
      </c>
      <c r="Y54" s="242">
        <f>入力シート!$U$62</f>
        <v>0</v>
      </c>
      <c r="Z54" s="156">
        <f>入力シート!$V$62</f>
        <v>0</v>
      </c>
      <c r="AA54" s="242">
        <f>入力シート!$W$62</f>
        <v>0</v>
      </c>
      <c r="AB54" s="156">
        <f>入力シート!$X$62</f>
        <v>0</v>
      </c>
      <c r="AC54" s="156">
        <f>入力シート!$Y$62</f>
        <v>0</v>
      </c>
      <c r="AD54" s="156" t="str">
        <f>入力シート!$Z$62</f>
        <v/>
      </c>
      <c r="AE54" s="156">
        <f>入力シート!$AA$62</f>
        <v>0</v>
      </c>
      <c r="AF54" s="156" t="str">
        <f>入力シート!$AB$62</f>
        <v/>
      </c>
      <c r="AG54" s="156">
        <f>入力シート!$AC$62</f>
        <v>0</v>
      </c>
      <c r="AH54" s="156" t="str">
        <f>入力シート!$AD$62</f>
        <v/>
      </c>
      <c r="AI54" s="156">
        <f>入力シート!$AE$62</f>
        <v>0</v>
      </c>
      <c r="AJ54" s="156" t="str">
        <f>入力シート!$AF$62</f>
        <v/>
      </c>
      <c r="AK54" s="155">
        <f>入力シート!$AG$62</f>
        <v>0</v>
      </c>
      <c r="AL54" s="155" t="str">
        <f>入力シート!$AH$62</f>
        <v/>
      </c>
      <c r="AM54" s="155">
        <f>入力シート!$AI$62</f>
        <v>0</v>
      </c>
      <c r="AN54" s="158">
        <f>入力シート!$AJ$62</f>
        <v>0</v>
      </c>
      <c r="AO54" s="155" t="str">
        <f>入力シート!$AK$62</f>
        <v/>
      </c>
      <c r="AP54" s="158">
        <f>入力シート!$AR$62</f>
        <v>0</v>
      </c>
      <c r="AQ54" s="158">
        <f>入力シート!$AV$62</f>
        <v>0</v>
      </c>
      <c r="AR54" s="158">
        <f>入力シート!$AW$62</f>
        <v>0</v>
      </c>
      <c r="AS54" s="155">
        <f>入力シート!$BF$62</f>
        <v>0</v>
      </c>
      <c r="AT54" s="155">
        <f>入力シート!$BG$62</f>
        <v>0</v>
      </c>
    </row>
    <row r="55" spans="1:46" x14ac:dyDescent="0.15">
      <c r="A55" s="155">
        <v>52</v>
      </c>
      <c r="F55" s="155" t="str">
        <f>入力シート!$B$63</f>
        <v/>
      </c>
      <c r="H55" s="155">
        <f>入力シート!$D$63</f>
        <v>0</v>
      </c>
      <c r="I55" s="155">
        <f>入力シート!$E$63</f>
        <v>0</v>
      </c>
      <c r="J55" s="155">
        <f>入力シート!$F$63</f>
        <v>0</v>
      </c>
      <c r="K55" s="157">
        <f>入力シート!$G$63</f>
        <v>0</v>
      </c>
      <c r="L55" s="19"/>
      <c r="M55" s="156" t="str">
        <f>入力シート!$I$63</f>
        <v/>
      </c>
      <c r="N55" s="156">
        <f>入力シート!$J$63</f>
        <v>0</v>
      </c>
      <c r="O55" s="156">
        <f>入力シート!$K$63</f>
        <v>0</v>
      </c>
      <c r="P55" s="156">
        <f>入力シート!$L$63</f>
        <v>0</v>
      </c>
      <c r="Q55" s="156">
        <f>入力シート!$M$63</f>
        <v>0</v>
      </c>
      <c r="R55" s="156">
        <f>入力シート!$N$63</f>
        <v>0</v>
      </c>
      <c r="S55" s="156">
        <f>入力シート!$O$63</f>
        <v>0</v>
      </c>
      <c r="T55" s="156">
        <f>入力シート!$P$63</f>
        <v>0</v>
      </c>
      <c r="U55" s="242">
        <f>入力シート!$Q$63</f>
        <v>0</v>
      </c>
      <c r="V55" s="242">
        <f>入力シート!$R$63</f>
        <v>0</v>
      </c>
      <c r="W55" s="242">
        <f>入力シート!$S$63</f>
        <v>0</v>
      </c>
      <c r="X55" s="242">
        <f>入力シート!$T$63</f>
        <v>0</v>
      </c>
      <c r="Y55" s="242">
        <f>入力シート!$U$63</f>
        <v>0</v>
      </c>
      <c r="Z55" s="156">
        <f>入力シート!$V$63</f>
        <v>0</v>
      </c>
      <c r="AA55" s="242">
        <f>入力シート!$W$63</f>
        <v>0</v>
      </c>
      <c r="AB55" s="156">
        <f>入力シート!$X$63</f>
        <v>0</v>
      </c>
      <c r="AC55" s="156">
        <f>入力シート!$Y$63</f>
        <v>0</v>
      </c>
      <c r="AD55" s="156" t="str">
        <f>入力シート!$Z$63</f>
        <v/>
      </c>
      <c r="AE55" s="156">
        <f>入力シート!$AA$63</f>
        <v>0</v>
      </c>
      <c r="AF55" s="156" t="str">
        <f>入力シート!$AB$63</f>
        <v/>
      </c>
      <c r="AG55" s="156">
        <f>入力シート!$AC$63</f>
        <v>0</v>
      </c>
      <c r="AH55" s="156" t="str">
        <f>入力シート!$AD$63</f>
        <v/>
      </c>
      <c r="AI55" s="156">
        <f>入力シート!$AE$63</f>
        <v>0</v>
      </c>
      <c r="AJ55" s="156" t="str">
        <f>入力シート!$AF$63</f>
        <v/>
      </c>
      <c r="AK55" s="155">
        <f>入力シート!$AG$63</f>
        <v>0</v>
      </c>
      <c r="AL55" s="155" t="str">
        <f>入力シート!$AH$63</f>
        <v/>
      </c>
      <c r="AM55" s="155">
        <f>入力シート!$AI$63</f>
        <v>0</v>
      </c>
      <c r="AN55" s="158">
        <f>入力シート!$AJ$63</f>
        <v>0</v>
      </c>
      <c r="AO55" s="155" t="str">
        <f>入力シート!$AK$63</f>
        <v/>
      </c>
      <c r="AP55" s="158">
        <f>入力シート!$AR$63</f>
        <v>0</v>
      </c>
      <c r="AQ55" s="158">
        <f>入力シート!$AV$63</f>
        <v>0</v>
      </c>
      <c r="AR55" s="158">
        <f>入力シート!$AW$63</f>
        <v>0</v>
      </c>
      <c r="AS55" s="155">
        <f>入力シート!$BF$63</f>
        <v>0</v>
      </c>
      <c r="AT55" s="155">
        <f>入力シート!$BG$63</f>
        <v>0</v>
      </c>
    </row>
    <row r="56" spans="1:46" x14ac:dyDescent="0.15">
      <c r="A56" s="155">
        <v>53</v>
      </c>
      <c r="F56" s="155" t="str">
        <f>入力シート!$B$64</f>
        <v/>
      </c>
      <c r="H56" s="155">
        <f>入力シート!$D$64</f>
        <v>0</v>
      </c>
      <c r="I56" s="155">
        <f>入力シート!$E$64</f>
        <v>0</v>
      </c>
      <c r="J56" s="155">
        <f>入力シート!$F$64</f>
        <v>0</v>
      </c>
      <c r="K56" s="157">
        <f>入力シート!$G$64</f>
        <v>0</v>
      </c>
      <c r="L56" s="19"/>
      <c r="M56" s="156" t="str">
        <f>入力シート!$I$64</f>
        <v/>
      </c>
      <c r="N56" s="156">
        <f>入力シート!$J$64</f>
        <v>0</v>
      </c>
      <c r="O56" s="156">
        <f>入力シート!$K$64</f>
        <v>0</v>
      </c>
      <c r="P56" s="156">
        <f>入力シート!$L$64</f>
        <v>0</v>
      </c>
      <c r="Q56" s="156">
        <f>入力シート!$M$64</f>
        <v>0</v>
      </c>
      <c r="R56" s="156">
        <f>入力シート!$N$64</f>
        <v>0</v>
      </c>
      <c r="S56" s="156">
        <f>入力シート!$O$64</f>
        <v>0</v>
      </c>
      <c r="T56" s="156">
        <f>入力シート!$P$64</f>
        <v>0</v>
      </c>
      <c r="U56" s="242">
        <f>入力シート!$Q$64</f>
        <v>0</v>
      </c>
      <c r="V56" s="242">
        <f>入力シート!$R$64</f>
        <v>0</v>
      </c>
      <c r="W56" s="242">
        <f>入力シート!$S$64</f>
        <v>0</v>
      </c>
      <c r="X56" s="242">
        <f>入力シート!$T$64</f>
        <v>0</v>
      </c>
      <c r="Y56" s="242">
        <f>入力シート!$U$64</f>
        <v>0</v>
      </c>
      <c r="Z56" s="156">
        <f>入力シート!$V$64</f>
        <v>0</v>
      </c>
      <c r="AA56" s="242">
        <f>入力シート!$W$64</f>
        <v>0</v>
      </c>
      <c r="AB56" s="156">
        <f>入力シート!$X$64</f>
        <v>0</v>
      </c>
      <c r="AC56" s="156">
        <f>入力シート!$Y$64</f>
        <v>0</v>
      </c>
      <c r="AD56" s="156" t="str">
        <f>入力シート!$Z$64</f>
        <v/>
      </c>
      <c r="AE56" s="156">
        <f>入力シート!$AA$64</f>
        <v>0</v>
      </c>
      <c r="AF56" s="156" t="str">
        <f>入力シート!$AB$64</f>
        <v/>
      </c>
      <c r="AG56" s="156">
        <f>入力シート!$AC$64</f>
        <v>0</v>
      </c>
      <c r="AH56" s="156" t="str">
        <f>入力シート!$AD$64</f>
        <v/>
      </c>
      <c r="AI56" s="156">
        <f>入力シート!$AE$64</f>
        <v>0</v>
      </c>
      <c r="AJ56" s="156" t="str">
        <f>入力シート!$AF$64</f>
        <v/>
      </c>
      <c r="AK56" s="155">
        <f>入力シート!$AG$64</f>
        <v>0</v>
      </c>
      <c r="AL56" s="155" t="str">
        <f>入力シート!$AH$64</f>
        <v/>
      </c>
      <c r="AM56" s="155">
        <f>入力シート!$AI$64</f>
        <v>0</v>
      </c>
      <c r="AN56" s="158">
        <f>入力シート!$AJ$64</f>
        <v>0</v>
      </c>
      <c r="AO56" s="155" t="str">
        <f>入力シート!$AK$64</f>
        <v/>
      </c>
      <c r="AP56" s="158">
        <f>入力シート!$AR$64</f>
        <v>0</v>
      </c>
      <c r="AQ56" s="158">
        <f>入力シート!$AV$64</f>
        <v>0</v>
      </c>
      <c r="AR56" s="158">
        <f>入力シート!$AW$64</f>
        <v>0</v>
      </c>
      <c r="AS56" s="155">
        <f>入力シート!$BF$64</f>
        <v>0</v>
      </c>
      <c r="AT56" s="155">
        <f>入力シート!$BG$64</f>
        <v>0</v>
      </c>
    </row>
    <row r="57" spans="1:46" x14ac:dyDescent="0.15">
      <c r="A57" s="155">
        <v>54</v>
      </c>
      <c r="F57" s="155" t="str">
        <f>入力シート!$B$65</f>
        <v/>
      </c>
      <c r="H57" s="155">
        <f>入力シート!$D$65</f>
        <v>0</v>
      </c>
      <c r="I57" s="155">
        <f>入力シート!$E$65</f>
        <v>0</v>
      </c>
      <c r="J57" s="155">
        <f>入力シート!$F$65</f>
        <v>0</v>
      </c>
      <c r="K57" s="157">
        <f>入力シート!$G$65</f>
        <v>0</v>
      </c>
      <c r="L57" s="19"/>
      <c r="M57" s="156" t="str">
        <f>入力シート!$I$65</f>
        <v/>
      </c>
      <c r="N57" s="156">
        <f>入力シート!$J$65</f>
        <v>0</v>
      </c>
      <c r="O57" s="156">
        <f>入力シート!$K$65</f>
        <v>0</v>
      </c>
      <c r="P57" s="156">
        <f>入力シート!$L$65</f>
        <v>0</v>
      </c>
      <c r="Q57" s="156">
        <f>入力シート!$M$65</f>
        <v>0</v>
      </c>
      <c r="R57" s="156">
        <f>入力シート!$N$65</f>
        <v>0</v>
      </c>
      <c r="S57" s="156">
        <f>入力シート!$O$65</f>
        <v>0</v>
      </c>
      <c r="T57" s="156">
        <f>入力シート!$P$65</f>
        <v>0</v>
      </c>
      <c r="U57" s="242">
        <f>入力シート!$Q$65</f>
        <v>0</v>
      </c>
      <c r="V57" s="242">
        <f>入力シート!$R$65</f>
        <v>0</v>
      </c>
      <c r="W57" s="242">
        <f>入力シート!$S$65</f>
        <v>0</v>
      </c>
      <c r="X57" s="242">
        <f>入力シート!$T$65</f>
        <v>0</v>
      </c>
      <c r="Y57" s="242">
        <f>入力シート!$U$65</f>
        <v>0</v>
      </c>
      <c r="Z57" s="156">
        <f>入力シート!$V$65</f>
        <v>0</v>
      </c>
      <c r="AA57" s="242">
        <f>入力シート!$W$65</f>
        <v>0</v>
      </c>
      <c r="AB57" s="156">
        <f>入力シート!$X$65</f>
        <v>0</v>
      </c>
      <c r="AC57" s="156">
        <f>入力シート!$Y$65</f>
        <v>0</v>
      </c>
      <c r="AD57" s="156" t="str">
        <f>入力シート!$Z$65</f>
        <v/>
      </c>
      <c r="AE57" s="156">
        <f>入力シート!$AA$65</f>
        <v>0</v>
      </c>
      <c r="AF57" s="156" t="str">
        <f>入力シート!$AB$65</f>
        <v/>
      </c>
      <c r="AG57" s="156">
        <f>入力シート!$AC$65</f>
        <v>0</v>
      </c>
      <c r="AH57" s="156" t="str">
        <f>入力シート!$AD$65</f>
        <v/>
      </c>
      <c r="AI57" s="156">
        <f>入力シート!$AE$65</f>
        <v>0</v>
      </c>
      <c r="AJ57" s="156" t="str">
        <f>入力シート!$AF$65</f>
        <v/>
      </c>
      <c r="AK57" s="155">
        <f>入力シート!$AG$65</f>
        <v>0</v>
      </c>
      <c r="AL57" s="155" t="str">
        <f>入力シート!$AH$65</f>
        <v/>
      </c>
      <c r="AM57" s="155">
        <f>入力シート!$AI$65</f>
        <v>0</v>
      </c>
      <c r="AN57" s="158">
        <f>入力シート!$AJ$65</f>
        <v>0</v>
      </c>
      <c r="AO57" s="155" t="str">
        <f>入力シート!$AK$65</f>
        <v/>
      </c>
      <c r="AP57" s="158">
        <f>入力シート!$AR$65</f>
        <v>0</v>
      </c>
      <c r="AQ57" s="158">
        <f>入力シート!$AV$65</f>
        <v>0</v>
      </c>
      <c r="AR57" s="158">
        <f>入力シート!$AW$65</f>
        <v>0</v>
      </c>
      <c r="AS57" s="155">
        <f>入力シート!$BF$65</f>
        <v>0</v>
      </c>
      <c r="AT57" s="155">
        <f>入力シート!$BG$65</f>
        <v>0</v>
      </c>
    </row>
    <row r="58" spans="1:46" x14ac:dyDescent="0.15">
      <c r="A58" s="155">
        <v>55</v>
      </c>
      <c r="F58" s="155" t="str">
        <f>入力シート!$B$66</f>
        <v/>
      </c>
      <c r="H58" s="155">
        <f>入力シート!$D$66</f>
        <v>0</v>
      </c>
      <c r="I58" s="155">
        <f>入力シート!$E$66</f>
        <v>0</v>
      </c>
      <c r="J58" s="155">
        <f>入力シート!$F$66</f>
        <v>0</v>
      </c>
      <c r="K58" s="157">
        <f>入力シート!$G$66</f>
        <v>0</v>
      </c>
      <c r="L58" s="19"/>
      <c r="M58" s="156" t="str">
        <f>入力シート!$I$66</f>
        <v/>
      </c>
      <c r="N58" s="156">
        <f>入力シート!$J$66</f>
        <v>0</v>
      </c>
      <c r="O58" s="156">
        <f>入力シート!$K$66</f>
        <v>0</v>
      </c>
      <c r="P58" s="156">
        <f>入力シート!$L$66</f>
        <v>0</v>
      </c>
      <c r="Q58" s="156">
        <f>入力シート!$M$66</f>
        <v>0</v>
      </c>
      <c r="R58" s="156">
        <f>入力シート!$N$66</f>
        <v>0</v>
      </c>
      <c r="S58" s="156">
        <f>入力シート!$O$66</f>
        <v>0</v>
      </c>
      <c r="T58" s="156">
        <f>入力シート!$P$66</f>
        <v>0</v>
      </c>
      <c r="U58" s="242">
        <f>入力シート!$Q$66</f>
        <v>0</v>
      </c>
      <c r="V58" s="242">
        <f>入力シート!$R$66</f>
        <v>0</v>
      </c>
      <c r="W58" s="242">
        <f>入力シート!$S$66</f>
        <v>0</v>
      </c>
      <c r="X58" s="242">
        <f>入力シート!$T$66</f>
        <v>0</v>
      </c>
      <c r="Y58" s="242">
        <f>入力シート!$U$66</f>
        <v>0</v>
      </c>
      <c r="Z58" s="156">
        <f>入力シート!$V$66</f>
        <v>0</v>
      </c>
      <c r="AA58" s="242">
        <f>入力シート!$W$66</f>
        <v>0</v>
      </c>
      <c r="AB58" s="156">
        <f>入力シート!$X$66</f>
        <v>0</v>
      </c>
      <c r="AC58" s="156">
        <f>入力シート!$Y$66</f>
        <v>0</v>
      </c>
      <c r="AD58" s="156" t="str">
        <f>入力シート!$Z$66</f>
        <v/>
      </c>
      <c r="AE58" s="156">
        <f>入力シート!$AA$66</f>
        <v>0</v>
      </c>
      <c r="AF58" s="156" t="str">
        <f>入力シート!$AB$66</f>
        <v/>
      </c>
      <c r="AG58" s="156">
        <f>入力シート!$AC$66</f>
        <v>0</v>
      </c>
      <c r="AH58" s="156" t="str">
        <f>入力シート!$AD$66</f>
        <v/>
      </c>
      <c r="AI58" s="156">
        <f>入力シート!$AE$66</f>
        <v>0</v>
      </c>
      <c r="AJ58" s="156" t="str">
        <f>入力シート!$AF$66</f>
        <v/>
      </c>
      <c r="AK58" s="155">
        <f>入力シート!$AG$66</f>
        <v>0</v>
      </c>
      <c r="AL58" s="155" t="str">
        <f>入力シート!$AH$66</f>
        <v/>
      </c>
      <c r="AM58" s="155">
        <f>入力シート!$AI$66</f>
        <v>0</v>
      </c>
      <c r="AN58" s="158">
        <f>入力シート!$AJ$66</f>
        <v>0</v>
      </c>
      <c r="AO58" s="155" t="str">
        <f>入力シート!$AK$66</f>
        <v/>
      </c>
      <c r="AP58" s="158">
        <f>入力シート!$AR$66</f>
        <v>0</v>
      </c>
      <c r="AQ58" s="158">
        <f>入力シート!$AV$66</f>
        <v>0</v>
      </c>
      <c r="AR58" s="158">
        <f>入力シート!$AW$66</f>
        <v>0</v>
      </c>
      <c r="AS58" s="155">
        <f>入力シート!$BF$66</f>
        <v>0</v>
      </c>
      <c r="AT58" s="155">
        <f>入力シート!$BG$66</f>
        <v>0</v>
      </c>
    </row>
    <row r="59" spans="1:46" x14ac:dyDescent="0.15">
      <c r="A59" s="155">
        <v>56</v>
      </c>
      <c r="F59" s="155" t="str">
        <f>入力シート!$B$67</f>
        <v/>
      </c>
      <c r="H59" s="155">
        <f>入力シート!$D$67</f>
        <v>0</v>
      </c>
      <c r="I59" s="155">
        <f>入力シート!$E$67</f>
        <v>0</v>
      </c>
      <c r="J59" s="155">
        <f>入力シート!$F$67</f>
        <v>0</v>
      </c>
      <c r="K59" s="157">
        <f>入力シート!$G$67</f>
        <v>0</v>
      </c>
      <c r="L59" s="19"/>
      <c r="M59" s="156" t="str">
        <f>入力シート!$I$67</f>
        <v/>
      </c>
      <c r="N59" s="156">
        <f>入力シート!$J$67</f>
        <v>0</v>
      </c>
      <c r="O59" s="156">
        <f>入力シート!$K$67</f>
        <v>0</v>
      </c>
      <c r="P59" s="156">
        <f>入力シート!$L$67</f>
        <v>0</v>
      </c>
      <c r="Q59" s="156">
        <f>入力シート!$M$67</f>
        <v>0</v>
      </c>
      <c r="R59" s="156">
        <f>入力シート!$N$67</f>
        <v>0</v>
      </c>
      <c r="S59" s="156">
        <f>入力シート!$O$67</f>
        <v>0</v>
      </c>
      <c r="T59" s="156">
        <f>入力シート!$P$67</f>
        <v>0</v>
      </c>
      <c r="U59" s="242">
        <f>入力シート!$Q$67</f>
        <v>0</v>
      </c>
      <c r="V59" s="242">
        <f>入力シート!$R$67</f>
        <v>0</v>
      </c>
      <c r="W59" s="242">
        <f>入力シート!$S$67</f>
        <v>0</v>
      </c>
      <c r="X59" s="242">
        <f>入力シート!$T$67</f>
        <v>0</v>
      </c>
      <c r="Y59" s="242">
        <f>入力シート!$U$67</f>
        <v>0</v>
      </c>
      <c r="Z59" s="156">
        <f>入力シート!$V$67</f>
        <v>0</v>
      </c>
      <c r="AA59" s="242">
        <f>入力シート!$W$67</f>
        <v>0</v>
      </c>
      <c r="AB59" s="156">
        <f>入力シート!$X$67</f>
        <v>0</v>
      </c>
      <c r="AC59" s="156">
        <f>入力シート!$Y$67</f>
        <v>0</v>
      </c>
      <c r="AD59" s="156" t="str">
        <f>入力シート!$Z$67</f>
        <v/>
      </c>
      <c r="AE59" s="156">
        <f>入力シート!$AA$67</f>
        <v>0</v>
      </c>
      <c r="AF59" s="156" t="str">
        <f>入力シート!$AB$67</f>
        <v/>
      </c>
      <c r="AG59" s="156">
        <f>入力シート!$AC$67</f>
        <v>0</v>
      </c>
      <c r="AH59" s="156" t="str">
        <f>入力シート!$AD$67</f>
        <v/>
      </c>
      <c r="AI59" s="156">
        <f>入力シート!$AE$67</f>
        <v>0</v>
      </c>
      <c r="AJ59" s="156" t="str">
        <f>入力シート!$AF$67</f>
        <v/>
      </c>
      <c r="AK59" s="155">
        <f>入力シート!$AG$67</f>
        <v>0</v>
      </c>
      <c r="AL59" s="155" t="str">
        <f>入力シート!$AH$67</f>
        <v/>
      </c>
      <c r="AM59" s="155">
        <f>入力シート!$AI$67</f>
        <v>0</v>
      </c>
      <c r="AN59" s="158">
        <f>入力シート!$AJ$67</f>
        <v>0</v>
      </c>
      <c r="AO59" s="155" t="str">
        <f>入力シート!$AK$67</f>
        <v/>
      </c>
      <c r="AP59" s="158">
        <f>入力シート!$AR$67</f>
        <v>0</v>
      </c>
      <c r="AQ59" s="158">
        <f>入力シート!$AV$67</f>
        <v>0</v>
      </c>
      <c r="AR59" s="158">
        <f>入力シート!$AW$67</f>
        <v>0</v>
      </c>
      <c r="AS59" s="155">
        <f>入力シート!$BF$67</f>
        <v>0</v>
      </c>
      <c r="AT59" s="155">
        <f>入力シート!$BG$67</f>
        <v>0</v>
      </c>
    </row>
    <row r="60" spans="1:46" x14ac:dyDescent="0.15">
      <c r="A60" s="155">
        <v>57</v>
      </c>
      <c r="F60" s="155" t="str">
        <f>入力シート!$B$68</f>
        <v/>
      </c>
      <c r="H60" s="155">
        <f>入力シート!$D$68</f>
        <v>0</v>
      </c>
      <c r="I60" s="155">
        <f>入力シート!$E$68</f>
        <v>0</v>
      </c>
      <c r="J60" s="155">
        <f>入力シート!$F$68</f>
        <v>0</v>
      </c>
      <c r="K60" s="157">
        <f>入力シート!$G$68</f>
        <v>0</v>
      </c>
      <c r="L60" s="19"/>
      <c r="M60" s="156" t="str">
        <f>入力シート!$I$68</f>
        <v/>
      </c>
      <c r="N60" s="156">
        <f>入力シート!$J$68</f>
        <v>0</v>
      </c>
      <c r="O60" s="156">
        <f>入力シート!$K$68</f>
        <v>0</v>
      </c>
      <c r="P60" s="156">
        <f>入力シート!$L$68</f>
        <v>0</v>
      </c>
      <c r="Q60" s="156">
        <f>入力シート!$M$68</f>
        <v>0</v>
      </c>
      <c r="R60" s="156">
        <f>入力シート!$N$68</f>
        <v>0</v>
      </c>
      <c r="S60" s="156">
        <f>入力シート!$O$68</f>
        <v>0</v>
      </c>
      <c r="T60" s="156">
        <f>入力シート!$P$68</f>
        <v>0</v>
      </c>
      <c r="U60" s="242">
        <f>入力シート!$Q$68</f>
        <v>0</v>
      </c>
      <c r="V60" s="242">
        <f>入力シート!$R$68</f>
        <v>0</v>
      </c>
      <c r="W60" s="242">
        <f>入力シート!$S$68</f>
        <v>0</v>
      </c>
      <c r="X60" s="242">
        <f>入力シート!$T$68</f>
        <v>0</v>
      </c>
      <c r="Y60" s="242">
        <f>入力シート!$U$68</f>
        <v>0</v>
      </c>
      <c r="Z60" s="156">
        <f>入力シート!$V$68</f>
        <v>0</v>
      </c>
      <c r="AA60" s="242">
        <f>入力シート!$W$68</f>
        <v>0</v>
      </c>
      <c r="AB60" s="156">
        <f>入力シート!$X$68</f>
        <v>0</v>
      </c>
      <c r="AC60" s="156">
        <f>入力シート!$Y$68</f>
        <v>0</v>
      </c>
      <c r="AD60" s="156" t="str">
        <f>入力シート!$Z$68</f>
        <v/>
      </c>
      <c r="AE60" s="156">
        <f>入力シート!$AA$68</f>
        <v>0</v>
      </c>
      <c r="AF60" s="156" t="str">
        <f>入力シート!$AB$68</f>
        <v/>
      </c>
      <c r="AG60" s="156">
        <f>入力シート!$AC$68</f>
        <v>0</v>
      </c>
      <c r="AH60" s="156" t="str">
        <f>入力シート!$AD$68</f>
        <v/>
      </c>
      <c r="AI60" s="156">
        <f>入力シート!$AE$68</f>
        <v>0</v>
      </c>
      <c r="AJ60" s="156" t="str">
        <f>入力シート!$AF$68</f>
        <v/>
      </c>
      <c r="AK60" s="155">
        <f>入力シート!$AG$68</f>
        <v>0</v>
      </c>
      <c r="AL60" s="155" t="str">
        <f>入力シート!$AH$68</f>
        <v/>
      </c>
      <c r="AM60" s="155">
        <f>入力シート!$AI$68</f>
        <v>0</v>
      </c>
      <c r="AN60" s="158">
        <f>入力シート!$AJ$68</f>
        <v>0</v>
      </c>
      <c r="AO60" s="155" t="str">
        <f>入力シート!$AK$68</f>
        <v/>
      </c>
      <c r="AP60" s="158">
        <f>入力シート!$AR$68</f>
        <v>0</v>
      </c>
      <c r="AQ60" s="158">
        <f>入力シート!$AV$68</f>
        <v>0</v>
      </c>
      <c r="AR60" s="158">
        <f>入力シート!$AW$68</f>
        <v>0</v>
      </c>
      <c r="AS60" s="155">
        <f>入力シート!$BF$68</f>
        <v>0</v>
      </c>
      <c r="AT60" s="155">
        <f>入力シート!$BG$68</f>
        <v>0</v>
      </c>
    </row>
    <row r="61" spans="1:46" x14ac:dyDescent="0.15">
      <c r="A61" s="155">
        <v>58</v>
      </c>
      <c r="F61" s="155" t="str">
        <f>入力シート!$B$69</f>
        <v/>
      </c>
      <c r="H61" s="155">
        <f>入力シート!$D$69</f>
        <v>0</v>
      </c>
      <c r="I61" s="155">
        <f>入力シート!$E$69</f>
        <v>0</v>
      </c>
      <c r="J61" s="155">
        <f>入力シート!$F$69</f>
        <v>0</v>
      </c>
      <c r="K61" s="157">
        <f>入力シート!$G$69</f>
        <v>0</v>
      </c>
      <c r="L61" s="19"/>
      <c r="M61" s="156" t="str">
        <f>入力シート!$I$69</f>
        <v/>
      </c>
      <c r="N61" s="156">
        <f>入力シート!$J$69</f>
        <v>0</v>
      </c>
      <c r="O61" s="156">
        <f>入力シート!$K$69</f>
        <v>0</v>
      </c>
      <c r="P61" s="156">
        <f>入力シート!$L$69</f>
        <v>0</v>
      </c>
      <c r="Q61" s="156">
        <f>入力シート!$M$69</f>
        <v>0</v>
      </c>
      <c r="R61" s="156">
        <f>入力シート!$N$69</f>
        <v>0</v>
      </c>
      <c r="S61" s="156">
        <f>入力シート!$O$69</f>
        <v>0</v>
      </c>
      <c r="T61" s="156">
        <f>入力シート!$P$69</f>
        <v>0</v>
      </c>
      <c r="U61" s="242">
        <f>入力シート!$Q$69</f>
        <v>0</v>
      </c>
      <c r="V61" s="242">
        <f>入力シート!$R$69</f>
        <v>0</v>
      </c>
      <c r="W61" s="242">
        <f>入力シート!$S$69</f>
        <v>0</v>
      </c>
      <c r="X61" s="242">
        <f>入力シート!$T$69</f>
        <v>0</v>
      </c>
      <c r="Y61" s="242">
        <f>入力シート!$U$69</f>
        <v>0</v>
      </c>
      <c r="Z61" s="156">
        <f>入力シート!$V$69</f>
        <v>0</v>
      </c>
      <c r="AA61" s="242">
        <f>入力シート!$W$69</f>
        <v>0</v>
      </c>
      <c r="AB61" s="156">
        <f>入力シート!$X$69</f>
        <v>0</v>
      </c>
      <c r="AC61" s="156">
        <f>入力シート!$Y$69</f>
        <v>0</v>
      </c>
      <c r="AD61" s="156" t="str">
        <f>入力シート!$Z$69</f>
        <v/>
      </c>
      <c r="AE61" s="156">
        <f>入力シート!$AA$69</f>
        <v>0</v>
      </c>
      <c r="AF61" s="156" t="str">
        <f>入力シート!$AB$69</f>
        <v/>
      </c>
      <c r="AG61" s="156">
        <f>入力シート!$AC$69</f>
        <v>0</v>
      </c>
      <c r="AH61" s="156" t="str">
        <f>入力シート!$AD$69</f>
        <v/>
      </c>
      <c r="AI61" s="156">
        <f>入力シート!$AE$69</f>
        <v>0</v>
      </c>
      <c r="AJ61" s="156" t="str">
        <f>入力シート!$AF$69</f>
        <v/>
      </c>
      <c r="AK61" s="155">
        <f>入力シート!$AG$69</f>
        <v>0</v>
      </c>
      <c r="AL61" s="155" t="str">
        <f>入力シート!$AH$69</f>
        <v/>
      </c>
      <c r="AM61" s="155">
        <f>入力シート!$AI$69</f>
        <v>0</v>
      </c>
      <c r="AN61" s="158">
        <f>入力シート!$AJ$69</f>
        <v>0</v>
      </c>
      <c r="AO61" s="155" t="str">
        <f>入力シート!$AK$69</f>
        <v/>
      </c>
      <c r="AP61" s="158">
        <f>入力シート!$AR$69</f>
        <v>0</v>
      </c>
      <c r="AQ61" s="158">
        <f>入力シート!$AV$69</f>
        <v>0</v>
      </c>
      <c r="AR61" s="158">
        <f>入力シート!$AW$69</f>
        <v>0</v>
      </c>
      <c r="AS61" s="155">
        <f>入力シート!$BF$69</f>
        <v>0</v>
      </c>
      <c r="AT61" s="155">
        <f>入力シート!$BG$69</f>
        <v>0</v>
      </c>
    </row>
    <row r="62" spans="1:46" x14ac:dyDescent="0.15">
      <c r="A62" s="155">
        <v>59</v>
      </c>
      <c r="F62" s="155" t="str">
        <f>入力シート!$B$70</f>
        <v/>
      </c>
      <c r="H62" s="155">
        <f>入力シート!$D$70</f>
        <v>0</v>
      </c>
      <c r="I62" s="155">
        <f>入力シート!$E$70</f>
        <v>0</v>
      </c>
      <c r="J62" s="155">
        <f>入力シート!$F$70</f>
        <v>0</v>
      </c>
      <c r="K62" s="157">
        <f>入力シート!$G$70</f>
        <v>0</v>
      </c>
      <c r="L62" s="19"/>
      <c r="M62" s="156" t="str">
        <f>入力シート!$I$70</f>
        <v/>
      </c>
      <c r="N62" s="156">
        <f>入力シート!$J$70</f>
        <v>0</v>
      </c>
      <c r="O62" s="156">
        <f>入力シート!$K$70</f>
        <v>0</v>
      </c>
      <c r="P62" s="156">
        <f>入力シート!$L$70</f>
        <v>0</v>
      </c>
      <c r="Q62" s="156">
        <f>入力シート!$M$70</f>
        <v>0</v>
      </c>
      <c r="R62" s="156">
        <f>入力シート!$N$70</f>
        <v>0</v>
      </c>
      <c r="S62" s="156">
        <f>入力シート!$O$70</f>
        <v>0</v>
      </c>
      <c r="T62" s="156">
        <f>入力シート!$P$70</f>
        <v>0</v>
      </c>
      <c r="U62" s="242">
        <f>入力シート!$Q$70</f>
        <v>0</v>
      </c>
      <c r="V62" s="242">
        <f>入力シート!$R$70</f>
        <v>0</v>
      </c>
      <c r="W62" s="242">
        <f>入力シート!$S$70</f>
        <v>0</v>
      </c>
      <c r="X62" s="242">
        <f>入力シート!$T$70</f>
        <v>0</v>
      </c>
      <c r="Y62" s="242">
        <f>入力シート!$U$70</f>
        <v>0</v>
      </c>
      <c r="Z62" s="156">
        <f>入力シート!$V$70</f>
        <v>0</v>
      </c>
      <c r="AA62" s="242">
        <f>入力シート!$W$70</f>
        <v>0</v>
      </c>
      <c r="AB62" s="156">
        <f>入力シート!$X$70</f>
        <v>0</v>
      </c>
      <c r="AC62" s="156">
        <f>入力シート!$Y$70</f>
        <v>0</v>
      </c>
      <c r="AD62" s="156" t="str">
        <f>入力シート!$Z$70</f>
        <v/>
      </c>
      <c r="AE62" s="156">
        <f>入力シート!$AA$70</f>
        <v>0</v>
      </c>
      <c r="AF62" s="156" t="str">
        <f>入力シート!$AB$70</f>
        <v/>
      </c>
      <c r="AG62" s="156">
        <f>入力シート!$AC$70</f>
        <v>0</v>
      </c>
      <c r="AH62" s="156" t="str">
        <f>入力シート!$AD$70</f>
        <v/>
      </c>
      <c r="AI62" s="156">
        <f>入力シート!$AE$70</f>
        <v>0</v>
      </c>
      <c r="AJ62" s="156" t="str">
        <f>入力シート!$AF$70</f>
        <v/>
      </c>
      <c r="AK62" s="155">
        <f>入力シート!$AG$70</f>
        <v>0</v>
      </c>
      <c r="AL62" s="155" t="str">
        <f>入力シート!$AH$70</f>
        <v/>
      </c>
      <c r="AM62" s="155">
        <f>入力シート!$AI$70</f>
        <v>0</v>
      </c>
      <c r="AN62" s="158">
        <f>入力シート!$AJ$70</f>
        <v>0</v>
      </c>
      <c r="AO62" s="155" t="str">
        <f>入力シート!$AK$70</f>
        <v/>
      </c>
      <c r="AP62" s="158">
        <f>入力シート!$AR$70</f>
        <v>0</v>
      </c>
      <c r="AQ62" s="158">
        <f>入力シート!$AV$70</f>
        <v>0</v>
      </c>
      <c r="AR62" s="158">
        <f>入力シート!$AW$70</f>
        <v>0</v>
      </c>
      <c r="AS62" s="155">
        <f>入力シート!$BF$70</f>
        <v>0</v>
      </c>
      <c r="AT62" s="155">
        <f>入力シート!$BG$70</f>
        <v>0</v>
      </c>
    </row>
    <row r="63" spans="1:46" x14ac:dyDescent="0.15">
      <c r="A63" s="159">
        <v>60</v>
      </c>
      <c r="D63" s="159"/>
      <c r="E63" s="159"/>
      <c r="F63" s="159" t="str">
        <f>入力シート!$B$71</f>
        <v/>
      </c>
      <c r="H63" s="155">
        <f>入力シート!$D$71</f>
        <v>0</v>
      </c>
      <c r="I63" s="155">
        <f>入力シート!$E$71</f>
        <v>0</v>
      </c>
      <c r="J63" s="155">
        <f>入力シート!$F$71</f>
        <v>0</v>
      </c>
      <c r="K63" s="157">
        <f>入力シート!$G$71</f>
        <v>0</v>
      </c>
      <c r="L63" s="19"/>
      <c r="M63" s="156" t="str">
        <f>入力シート!$I$71</f>
        <v/>
      </c>
      <c r="N63" s="156">
        <f>入力シート!$J$71</f>
        <v>0</v>
      </c>
      <c r="O63" s="156">
        <f>入力シート!$K$71</f>
        <v>0</v>
      </c>
      <c r="P63" s="156">
        <f>入力シート!$L$71</f>
        <v>0</v>
      </c>
      <c r="Q63" s="156">
        <f>入力シート!$M$71</f>
        <v>0</v>
      </c>
      <c r="R63" s="156">
        <f>入力シート!$N$71</f>
        <v>0</v>
      </c>
      <c r="S63" s="156">
        <f>入力シート!$O$71</f>
        <v>0</v>
      </c>
      <c r="T63" s="156">
        <f>入力シート!$P$71</f>
        <v>0</v>
      </c>
      <c r="U63" s="242">
        <f>入力シート!$Q$71</f>
        <v>0</v>
      </c>
      <c r="V63" s="242">
        <f>入力シート!$R$71</f>
        <v>0</v>
      </c>
      <c r="W63" s="242">
        <f>入力シート!$S$71</f>
        <v>0</v>
      </c>
      <c r="X63" s="242">
        <f>入力シート!$T$71</f>
        <v>0</v>
      </c>
      <c r="Y63" s="242">
        <f>入力シート!$U$71</f>
        <v>0</v>
      </c>
      <c r="Z63" s="156">
        <f>入力シート!$V$71</f>
        <v>0</v>
      </c>
      <c r="AA63" s="242">
        <f>入力シート!$W$71</f>
        <v>0</v>
      </c>
      <c r="AB63" s="156">
        <f>入力シート!$X$71</f>
        <v>0</v>
      </c>
      <c r="AC63" s="156">
        <f>入力シート!$Y$71</f>
        <v>0</v>
      </c>
      <c r="AD63" s="156" t="str">
        <f>入力シート!$Z$71</f>
        <v/>
      </c>
      <c r="AE63" s="156">
        <f>入力シート!$AA$71</f>
        <v>0</v>
      </c>
      <c r="AF63" s="156" t="str">
        <f>入力シート!$AB$71</f>
        <v/>
      </c>
      <c r="AG63" s="156">
        <f>入力シート!$AC$71</f>
        <v>0</v>
      </c>
      <c r="AH63" s="156" t="str">
        <f>入力シート!$AD$71</f>
        <v/>
      </c>
      <c r="AI63" s="156">
        <f>入力シート!$AE$71</f>
        <v>0</v>
      </c>
      <c r="AJ63" s="156" t="str">
        <f>入力シート!$AF$71</f>
        <v/>
      </c>
      <c r="AK63" s="155">
        <f>入力シート!$AG$71</f>
        <v>0</v>
      </c>
      <c r="AL63" s="155" t="str">
        <f>入力シート!$AH$71</f>
        <v/>
      </c>
      <c r="AM63" s="155">
        <f>入力シート!$AI$71</f>
        <v>0</v>
      </c>
      <c r="AN63" s="158">
        <f>入力シート!$AJ$71</f>
        <v>0</v>
      </c>
      <c r="AO63" s="155" t="str">
        <f>入力シート!$AK$71</f>
        <v/>
      </c>
      <c r="AP63" s="158">
        <f>入力シート!$AR$71</f>
        <v>0</v>
      </c>
      <c r="AQ63" s="158">
        <f>入力シート!$AV$71</f>
        <v>0</v>
      </c>
      <c r="AR63" s="158">
        <f>入力シート!$AW$71</f>
        <v>0</v>
      </c>
      <c r="AS63" s="155">
        <f>入力シート!$BF$71</f>
        <v>0</v>
      </c>
      <c r="AT63" s="155">
        <f>入力シート!$BG$71</f>
        <v>0</v>
      </c>
    </row>
    <row r="64" spans="1:46" s="164" customFormat="1" x14ac:dyDescent="0.15">
      <c r="A64" s="161"/>
      <c r="B64" s="161"/>
      <c r="C64" s="161"/>
      <c r="D64" s="161"/>
      <c r="E64" s="161"/>
      <c r="F64" s="161"/>
      <c r="G64" s="161"/>
      <c r="H64" s="161"/>
      <c r="I64" s="161"/>
      <c r="J64" s="162"/>
      <c r="K64" s="163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Z64" s="161"/>
    </row>
    <row r="68" spans="1:11" x14ac:dyDescent="0.15">
      <c r="A68" s="393" t="s">
        <v>659</v>
      </c>
    </row>
    <row r="69" spans="1:11" x14ac:dyDescent="0.15">
      <c r="B69" s="393" t="s">
        <v>660</v>
      </c>
    </row>
    <row r="70" spans="1:11" x14ac:dyDescent="0.15">
      <c r="B70" s="393" t="s">
        <v>661</v>
      </c>
    </row>
    <row r="71" spans="1:11" ht="250.5" customHeight="1" x14ac:dyDescent="0.15">
      <c r="B71" s="1244" t="s">
        <v>662</v>
      </c>
      <c r="C71" s="1244"/>
      <c r="D71" s="1244"/>
      <c r="E71" s="1244"/>
      <c r="F71" s="1244"/>
      <c r="G71" s="1244"/>
      <c r="H71" s="1244"/>
      <c r="I71" s="1244"/>
      <c r="J71" s="1244"/>
      <c r="K71" s="1244"/>
    </row>
    <row r="72" spans="1:11" x14ac:dyDescent="0.15">
      <c r="B72" s="393" t="s">
        <v>663</v>
      </c>
    </row>
    <row r="73" spans="1:11" x14ac:dyDescent="0.15">
      <c r="B73" s="393" t="s">
        <v>664</v>
      </c>
    </row>
  </sheetData>
  <mergeCells count="1">
    <mergeCell ref="B71:K71"/>
  </mergeCells>
  <phoneticPr fontId="6"/>
  <dataValidations count="1">
    <dataValidation imeMode="on" allowBlank="1" showInputMessage="1" showErrorMessage="1" sqref="G1" xr:uid="{00000000-0002-0000-0000-000000000000}"/>
  </dataValidations>
  <pageMargins left="0.7" right="0.7" top="0.75" bottom="0.75" header="0.3" footer="0.3"/>
  <pageSetup paperSize="9"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A0BB7-AE57-410A-80A4-1640E3AE255C}">
  <dimension ref="B3:G64"/>
  <sheetViews>
    <sheetView topLeftCell="A37" workbookViewId="0">
      <selection activeCell="D3" sqref="D3:J54"/>
    </sheetView>
  </sheetViews>
  <sheetFormatPr defaultRowHeight="13.5" x14ac:dyDescent="0.15"/>
  <cols>
    <col min="7" max="7" width="9.5" bestFit="1" customWidth="1"/>
  </cols>
  <sheetData>
    <row r="3" spans="2:7" x14ac:dyDescent="0.15">
      <c r="B3" t="s">
        <v>158</v>
      </c>
      <c r="D3" t="s">
        <v>981</v>
      </c>
      <c r="F3">
        <v>0</v>
      </c>
      <c r="G3" s="616">
        <v>45782</v>
      </c>
    </row>
    <row r="4" spans="2:7" x14ac:dyDescent="0.15">
      <c r="B4" t="s">
        <v>152</v>
      </c>
      <c r="D4" t="s">
        <v>867</v>
      </c>
      <c r="F4">
        <v>1</v>
      </c>
      <c r="G4" s="616">
        <v>45417</v>
      </c>
    </row>
    <row r="5" spans="2:7" x14ac:dyDescent="0.15">
      <c r="B5" t="s">
        <v>154</v>
      </c>
      <c r="D5" t="s">
        <v>982</v>
      </c>
      <c r="F5">
        <v>2</v>
      </c>
      <c r="G5" s="616">
        <v>45051</v>
      </c>
    </row>
    <row r="6" spans="2:7" x14ac:dyDescent="0.15">
      <c r="B6" t="s">
        <v>153</v>
      </c>
      <c r="D6" t="s">
        <v>765</v>
      </c>
      <c r="F6">
        <v>3</v>
      </c>
      <c r="G6" s="616">
        <v>44686</v>
      </c>
    </row>
    <row r="7" spans="2:7" x14ac:dyDescent="0.15">
      <c r="D7" t="s">
        <v>983</v>
      </c>
      <c r="F7">
        <v>4</v>
      </c>
      <c r="G7" s="616">
        <v>44321</v>
      </c>
    </row>
    <row r="8" spans="2:7" x14ac:dyDescent="0.15">
      <c r="D8" t="s">
        <v>785</v>
      </c>
      <c r="F8">
        <v>5</v>
      </c>
      <c r="G8" s="616">
        <v>43956</v>
      </c>
    </row>
    <row r="9" spans="2:7" x14ac:dyDescent="0.15">
      <c r="D9" t="s">
        <v>984</v>
      </c>
      <c r="F9" s="287">
        <v>6</v>
      </c>
      <c r="G9" s="616">
        <v>43590</v>
      </c>
    </row>
    <row r="10" spans="2:7" x14ac:dyDescent="0.15">
      <c r="D10" t="s">
        <v>803</v>
      </c>
      <c r="F10">
        <v>7</v>
      </c>
      <c r="G10" s="616">
        <v>43225</v>
      </c>
    </row>
    <row r="11" spans="2:7" x14ac:dyDescent="0.15">
      <c r="D11" t="s">
        <v>985</v>
      </c>
      <c r="F11">
        <v>8</v>
      </c>
      <c r="G11" s="616">
        <v>42860</v>
      </c>
    </row>
    <row r="12" spans="2:7" x14ac:dyDescent="0.15">
      <c r="D12" t="s">
        <v>813</v>
      </c>
      <c r="F12" s="287">
        <v>9</v>
      </c>
      <c r="G12" s="616">
        <v>42495</v>
      </c>
    </row>
    <row r="13" spans="2:7" x14ac:dyDescent="0.15">
      <c r="D13" t="s">
        <v>986</v>
      </c>
      <c r="F13">
        <v>10</v>
      </c>
      <c r="G13" s="616">
        <v>42129</v>
      </c>
    </row>
    <row r="14" spans="2:7" x14ac:dyDescent="0.15">
      <c r="D14" t="s">
        <v>823</v>
      </c>
      <c r="F14">
        <v>11</v>
      </c>
      <c r="G14" s="616">
        <v>41764</v>
      </c>
    </row>
    <row r="15" spans="2:7" x14ac:dyDescent="0.15">
      <c r="D15" t="s">
        <v>987</v>
      </c>
      <c r="F15" s="287">
        <v>12</v>
      </c>
      <c r="G15" s="616">
        <v>41399</v>
      </c>
    </row>
    <row r="16" spans="2:7" x14ac:dyDescent="0.15">
      <c r="D16" t="s">
        <v>988</v>
      </c>
      <c r="F16">
        <v>13</v>
      </c>
      <c r="G16" s="616">
        <v>41034</v>
      </c>
    </row>
    <row r="17" spans="4:7" x14ac:dyDescent="0.15">
      <c r="D17" t="s">
        <v>989</v>
      </c>
      <c r="F17">
        <v>14</v>
      </c>
      <c r="G17" s="616">
        <v>40668</v>
      </c>
    </row>
    <row r="18" spans="4:7" x14ac:dyDescent="0.15">
      <c r="D18" t="s">
        <v>990</v>
      </c>
      <c r="F18" s="287">
        <v>15</v>
      </c>
      <c r="G18" s="616">
        <v>40303</v>
      </c>
    </row>
    <row r="19" spans="4:7" x14ac:dyDescent="0.15">
      <c r="D19" t="s">
        <v>991</v>
      </c>
      <c r="F19">
        <v>16</v>
      </c>
      <c r="G19" s="616">
        <v>39938</v>
      </c>
    </row>
    <row r="20" spans="4:7" x14ac:dyDescent="0.15">
      <c r="D20" t="s">
        <v>992</v>
      </c>
      <c r="F20">
        <v>17</v>
      </c>
      <c r="G20" s="616">
        <v>39573</v>
      </c>
    </row>
    <row r="21" spans="4:7" x14ac:dyDescent="0.15">
      <c r="D21" t="s">
        <v>993</v>
      </c>
      <c r="F21" s="287">
        <v>18</v>
      </c>
      <c r="G21" s="616">
        <v>39207</v>
      </c>
    </row>
    <row r="22" spans="4:7" x14ac:dyDescent="0.15">
      <c r="D22" t="s">
        <v>994</v>
      </c>
      <c r="F22" s="287">
        <v>19</v>
      </c>
      <c r="G22" s="616">
        <v>38842</v>
      </c>
    </row>
    <row r="23" spans="4:7" x14ac:dyDescent="0.15">
      <c r="D23" t="s">
        <v>995</v>
      </c>
      <c r="F23">
        <v>20</v>
      </c>
      <c r="G23" s="616">
        <v>38477</v>
      </c>
    </row>
    <row r="24" spans="4:7" x14ac:dyDescent="0.15">
      <c r="D24" t="s">
        <v>996</v>
      </c>
      <c r="F24">
        <v>21</v>
      </c>
      <c r="G24" s="616">
        <v>38112</v>
      </c>
    </row>
    <row r="25" spans="4:7" x14ac:dyDescent="0.15">
      <c r="D25" t="s">
        <v>997</v>
      </c>
      <c r="F25">
        <v>22</v>
      </c>
      <c r="G25" s="616">
        <v>37746</v>
      </c>
    </row>
    <row r="26" spans="4:7" x14ac:dyDescent="0.15">
      <c r="D26" t="s">
        <v>998</v>
      </c>
      <c r="F26">
        <v>23</v>
      </c>
      <c r="G26" s="616">
        <v>37381</v>
      </c>
    </row>
    <row r="27" spans="4:7" x14ac:dyDescent="0.15">
      <c r="D27" t="s">
        <v>999</v>
      </c>
      <c r="F27">
        <v>24</v>
      </c>
      <c r="G27" s="616">
        <v>37016</v>
      </c>
    </row>
    <row r="28" spans="4:7" x14ac:dyDescent="0.15">
      <c r="D28" t="s">
        <v>1000</v>
      </c>
      <c r="F28">
        <v>25</v>
      </c>
      <c r="G28" s="616">
        <v>36651</v>
      </c>
    </row>
    <row r="29" spans="4:7" x14ac:dyDescent="0.15">
      <c r="D29" t="s">
        <v>1001</v>
      </c>
      <c r="F29">
        <v>26</v>
      </c>
      <c r="G29" s="616">
        <v>36285</v>
      </c>
    </row>
    <row r="30" spans="4:7" x14ac:dyDescent="0.15">
      <c r="D30" t="s">
        <v>1002</v>
      </c>
      <c r="F30">
        <v>27</v>
      </c>
      <c r="G30" s="616">
        <v>35920</v>
      </c>
    </row>
    <row r="31" spans="4:7" x14ac:dyDescent="0.15">
      <c r="D31" t="s">
        <v>1003</v>
      </c>
      <c r="F31">
        <v>28</v>
      </c>
      <c r="G31" s="616">
        <v>35555</v>
      </c>
    </row>
    <row r="32" spans="4:7" x14ac:dyDescent="0.15">
      <c r="D32" t="s">
        <v>1004</v>
      </c>
      <c r="F32">
        <v>29</v>
      </c>
      <c r="G32" s="616">
        <v>35190</v>
      </c>
    </row>
    <row r="33" spans="4:7" x14ac:dyDescent="0.15">
      <c r="D33" t="s">
        <v>1005</v>
      </c>
      <c r="F33">
        <v>30</v>
      </c>
      <c r="G33" s="616">
        <v>34824</v>
      </c>
    </row>
    <row r="34" spans="4:7" x14ac:dyDescent="0.15">
      <c r="D34" t="s">
        <v>1006</v>
      </c>
      <c r="F34">
        <v>31</v>
      </c>
      <c r="G34" s="616">
        <v>34459</v>
      </c>
    </row>
    <row r="35" spans="4:7" x14ac:dyDescent="0.15">
      <c r="D35" t="s">
        <v>1007</v>
      </c>
      <c r="F35">
        <v>32</v>
      </c>
      <c r="G35" s="616">
        <v>34094</v>
      </c>
    </row>
    <row r="36" spans="4:7" x14ac:dyDescent="0.15">
      <c r="D36" t="s">
        <v>1008</v>
      </c>
      <c r="F36">
        <v>33</v>
      </c>
      <c r="G36" s="616">
        <v>33729</v>
      </c>
    </row>
    <row r="37" spans="4:7" x14ac:dyDescent="0.15">
      <c r="D37" t="s">
        <v>1009</v>
      </c>
      <c r="F37">
        <v>34</v>
      </c>
      <c r="G37" s="616">
        <v>33363</v>
      </c>
    </row>
    <row r="38" spans="4:7" x14ac:dyDescent="0.15">
      <c r="D38" t="s">
        <v>1010</v>
      </c>
      <c r="F38">
        <v>35</v>
      </c>
      <c r="G38" s="616">
        <v>32998</v>
      </c>
    </row>
    <row r="39" spans="4:7" x14ac:dyDescent="0.15">
      <c r="D39" t="s">
        <v>1011</v>
      </c>
      <c r="F39">
        <v>36</v>
      </c>
      <c r="G39" s="616">
        <v>32633</v>
      </c>
    </row>
    <row r="40" spans="4:7" x14ac:dyDescent="0.15">
      <c r="D40" t="s">
        <v>1012</v>
      </c>
      <c r="F40">
        <v>37</v>
      </c>
      <c r="G40" s="616">
        <v>32268</v>
      </c>
    </row>
    <row r="41" spans="4:7" x14ac:dyDescent="0.15">
      <c r="D41" t="s">
        <v>1013</v>
      </c>
      <c r="F41">
        <v>38</v>
      </c>
      <c r="G41" s="616">
        <v>31902</v>
      </c>
    </row>
    <row r="42" spans="4:7" x14ac:dyDescent="0.15">
      <c r="D42" t="s">
        <v>1014</v>
      </c>
      <c r="F42">
        <v>39</v>
      </c>
      <c r="G42" s="616">
        <v>31537</v>
      </c>
    </row>
    <row r="43" spans="4:7" x14ac:dyDescent="0.15">
      <c r="D43" t="s">
        <v>1015</v>
      </c>
      <c r="F43">
        <v>40</v>
      </c>
      <c r="G43" s="616">
        <v>31172</v>
      </c>
    </row>
    <row r="44" spans="4:7" x14ac:dyDescent="0.15">
      <c r="D44" t="s">
        <v>1016</v>
      </c>
      <c r="F44">
        <v>41</v>
      </c>
      <c r="G44" s="616">
        <v>30807</v>
      </c>
    </row>
    <row r="45" spans="4:7" x14ac:dyDescent="0.15">
      <c r="D45" t="s">
        <v>1017</v>
      </c>
      <c r="F45">
        <v>42</v>
      </c>
      <c r="G45" s="616">
        <v>30441</v>
      </c>
    </row>
    <row r="46" spans="4:7" x14ac:dyDescent="0.15">
      <c r="D46" t="s">
        <v>1018</v>
      </c>
      <c r="F46">
        <v>43</v>
      </c>
      <c r="G46" s="616">
        <v>30076</v>
      </c>
    </row>
    <row r="47" spans="4:7" x14ac:dyDescent="0.15">
      <c r="D47" t="s">
        <v>1019</v>
      </c>
      <c r="F47">
        <v>44</v>
      </c>
      <c r="G47" s="616">
        <v>29711</v>
      </c>
    </row>
    <row r="48" spans="4:7" x14ac:dyDescent="0.15">
      <c r="D48" t="s">
        <v>1020</v>
      </c>
      <c r="F48">
        <v>45</v>
      </c>
      <c r="G48" s="616">
        <v>29346</v>
      </c>
    </row>
    <row r="49" spans="4:7" x14ac:dyDescent="0.15">
      <c r="D49" t="s">
        <v>1021</v>
      </c>
      <c r="F49">
        <v>46</v>
      </c>
      <c r="G49" s="616">
        <v>28980</v>
      </c>
    </row>
    <row r="50" spans="4:7" x14ac:dyDescent="0.15">
      <c r="D50" t="s">
        <v>1022</v>
      </c>
      <c r="F50">
        <v>47</v>
      </c>
      <c r="G50" s="616">
        <v>28615</v>
      </c>
    </row>
    <row r="51" spans="4:7" x14ac:dyDescent="0.15">
      <c r="D51" t="s">
        <v>1023</v>
      </c>
      <c r="F51">
        <v>48</v>
      </c>
      <c r="G51" s="616">
        <v>28250</v>
      </c>
    </row>
    <row r="52" spans="4:7" x14ac:dyDescent="0.15">
      <c r="D52" t="s">
        <v>1024</v>
      </c>
      <c r="F52">
        <v>49</v>
      </c>
      <c r="G52" s="616">
        <v>27885</v>
      </c>
    </row>
    <row r="53" spans="4:7" x14ac:dyDescent="0.15">
      <c r="D53" t="s">
        <v>1025</v>
      </c>
      <c r="F53">
        <v>50</v>
      </c>
      <c r="G53" s="616">
        <v>27519</v>
      </c>
    </row>
    <row r="54" spans="4:7" x14ac:dyDescent="0.15">
      <c r="D54" t="s">
        <v>1026</v>
      </c>
      <c r="F54">
        <v>51</v>
      </c>
      <c r="G54" s="616">
        <v>27154</v>
      </c>
    </row>
    <row r="55" spans="4:7" x14ac:dyDescent="0.15">
      <c r="D55" t="s">
        <v>1027</v>
      </c>
      <c r="F55">
        <v>52</v>
      </c>
      <c r="G55" s="616">
        <v>26789</v>
      </c>
    </row>
    <row r="56" spans="4:7" x14ac:dyDescent="0.15">
      <c r="D56" t="s">
        <v>1028</v>
      </c>
      <c r="F56">
        <v>53</v>
      </c>
      <c r="G56" s="616">
        <v>26424</v>
      </c>
    </row>
    <row r="57" spans="4:7" x14ac:dyDescent="0.15">
      <c r="D57" t="s">
        <v>1029</v>
      </c>
      <c r="F57">
        <v>54</v>
      </c>
      <c r="G57" s="616">
        <v>26058</v>
      </c>
    </row>
    <row r="58" spans="4:7" x14ac:dyDescent="0.15">
      <c r="D58" t="s">
        <v>1030</v>
      </c>
      <c r="F58">
        <v>55</v>
      </c>
      <c r="G58" s="616">
        <v>25693</v>
      </c>
    </row>
    <row r="59" spans="4:7" x14ac:dyDescent="0.15">
      <c r="D59" t="s">
        <v>1031</v>
      </c>
      <c r="F59">
        <v>56</v>
      </c>
      <c r="G59" s="616">
        <v>25328</v>
      </c>
    </row>
    <row r="60" spans="4:7" x14ac:dyDescent="0.15">
      <c r="D60" t="s">
        <v>1032</v>
      </c>
      <c r="F60">
        <v>57</v>
      </c>
      <c r="G60" s="616">
        <v>24963</v>
      </c>
    </row>
    <row r="61" spans="4:7" x14ac:dyDescent="0.15">
      <c r="D61" t="s">
        <v>1033</v>
      </c>
      <c r="F61">
        <v>58</v>
      </c>
      <c r="G61" s="616">
        <v>24597</v>
      </c>
    </row>
    <row r="62" spans="4:7" x14ac:dyDescent="0.15">
      <c r="D62" t="s">
        <v>1034</v>
      </c>
      <c r="F62">
        <v>59</v>
      </c>
      <c r="G62" s="616">
        <v>24232</v>
      </c>
    </row>
    <row r="63" spans="4:7" x14ac:dyDescent="0.15">
      <c r="F63">
        <v>60</v>
      </c>
      <c r="G63" s="616">
        <v>23867</v>
      </c>
    </row>
    <row r="64" spans="4:7" x14ac:dyDescent="0.15">
      <c r="F64">
        <v>61</v>
      </c>
      <c r="G64" s="616">
        <v>23502</v>
      </c>
    </row>
  </sheetData>
  <phoneticPr fontId="6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8</vt:i4>
      </vt:variant>
    </vt:vector>
  </HeadingPairs>
  <TitlesOfParts>
    <vt:vector size="15" baseType="lpstr">
      <vt:lpstr>団体情報・入力の仕方</vt:lpstr>
      <vt:lpstr>入力シート</vt:lpstr>
      <vt:lpstr>エントリー別人数表＆参加費申込書</vt:lpstr>
      <vt:lpstr>基本データ</vt:lpstr>
      <vt:lpstr>参照データ</vt:lpstr>
      <vt:lpstr>マクロ用</vt:lpstr>
      <vt:lpstr>確認入力用</vt:lpstr>
      <vt:lpstr>マクロ用!excelﾊﾞｰｼﾞｮﾝ</vt:lpstr>
      <vt:lpstr>'エントリー別人数表＆参加費申込書'!Print_Area</vt:lpstr>
      <vt:lpstr>団体情報・入力の仕方!Print_Area</vt:lpstr>
      <vt:lpstr>入力シート!Print_Area</vt:lpstr>
      <vt:lpstr>入力シート!Print_Titles</vt:lpstr>
      <vt:lpstr>マクロ用!都県</vt:lpstr>
      <vt:lpstr>都県</vt:lpstr>
      <vt:lpstr>未就学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kanto</dc:creator>
  <cp:lastModifiedBy>バトン協会 東京都</cp:lastModifiedBy>
  <cp:lastPrinted>2025-09-08T02:45:45Z</cp:lastPrinted>
  <dcterms:created xsi:type="dcterms:W3CDTF">2017-02-27T02:54:30Z</dcterms:created>
  <dcterms:modified xsi:type="dcterms:W3CDTF">2025-09-08T02:46:06Z</dcterms:modified>
</cp:coreProperties>
</file>